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8_0.bin" ContentType="application/vnd.openxmlformats-officedocument.oleObject"/>
  <Override PartName="/xl/embeddings/oleObject_8_1.bin" ContentType="application/vnd.openxmlformats-officedocument.oleObject"/>
  <Override PartName="/xl/embeddings/oleObject_8_2.bin" ContentType="application/vnd.openxmlformats-officedocument.oleObject"/>
  <Override PartName="/xl/embeddings/oleObject_9_0.bin" ContentType="application/vnd.openxmlformats-officedocument.oleObject"/>
  <Override PartName="/xl/embeddings/oleObject_9_1.bin" ContentType="application/vnd.openxmlformats-officedocument.oleObject"/>
  <Override PartName="/xl/embeddings/oleObject_9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6" yWindow="240" windowWidth="14028" windowHeight="9960" tabRatio="834" activeTab="0"/>
  </bookViews>
  <sheets>
    <sheet name="Instructions" sheetId="1" r:id="rId1"/>
    <sheet name="ContinuousInflowBioswale_Tmpt" sheetId="2" r:id="rId2"/>
    <sheet name="Area1" sheetId="3" r:id="rId3"/>
    <sheet name="Area2" sheetId="4" r:id="rId4"/>
    <sheet name="Area3" sheetId="5" r:id="rId5"/>
    <sheet name="Area4" sheetId="6" r:id="rId6"/>
    <sheet name="Area5" sheetId="7" r:id="rId7"/>
    <sheet name="Area6" sheetId="8" r:id="rId8"/>
    <sheet name="Area7" sheetId="9" r:id="rId9"/>
    <sheet name="Area8" sheetId="10" r:id="rId10"/>
    <sheet name="Tables" sheetId="11" state="hidden" r:id="rId11"/>
  </sheets>
  <externalReferences>
    <externalReference r:id="rId14"/>
    <externalReference r:id="rId15"/>
    <externalReference r:id="rId16"/>
  </externalReferences>
  <definedNames>
    <definedName name="fplot">'[2]Tables'!$A$3:$A$5</definedName>
    <definedName name="onlineoffline" localSheetId="0">'[1]Tables'!$D$2:$D$3</definedName>
    <definedName name="onlineoffline">'Tables'!$D$2:$D$3</definedName>
    <definedName name="_xlnm.Print_Area" localSheetId="1">'ContinuousInflowBioswale_Tmpt'!$A$1:$P$205</definedName>
    <definedName name="SoilCover" localSheetId="0">'[1]Tables'!$A$3:$A$5</definedName>
    <definedName name="SoilCover">'Tables'!$A$3:$A$5</definedName>
    <definedName name="SoilCovernew">'[3]Tables'!$A$3:$A$5</definedName>
  </definedNames>
  <calcPr fullCalcOnLoad="1"/>
</workbook>
</file>

<file path=xl/sharedStrings.xml><?xml version="1.0" encoding="utf-8"?>
<sst xmlns="http://schemas.openxmlformats.org/spreadsheetml/2006/main" count="542" uniqueCount="206">
  <si>
    <r>
      <t>Q</t>
    </r>
    <r>
      <rPr>
        <vertAlign val="subscript"/>
        <sz val="10"/>
        <rFont val="Arial"/>
        <family val="2"/>
      </rPr>
      <t>wq</t>
    </r>
  </si>
  <si>
    <t>runoff treatment design flow rate</t>
  </si>
  <si>
    <t>y</t>
  </si>
  <si>
    <t>s</t>
  </si>
  <si>
    <t>soil/veg</t>
  </si>
  <si>
    <t>Grass-legume mix on compacted native soil</t>
  </si>
  <si>
    <t>Soil and Cover</t>
  </si>
  <si>
    <t>Manning's Coefficient</t>
  </si>
  <si>
    <t>n</t>
  </si>
  <si>
    <t>online</t>
  </si>
  <si>
    <t>offline</t>
  </si>
  <si>
    <r>
      <t>Q</t>
    </r>
    <r>
      <rPr>
        <vertAlign val="subscript"/>
        <sz val="10"/>
        <rFont val="Arial"/>
        <family val="2"/>
      </rPr>
      <t>biofil</t>
    </r>
  </si>
  <si>
    <t>A</t>
  </si>
  <si>
    <t>R</t>
  </si>
  <si>
    <t>Manning's coefficient</t>
  </si>
  <si>
    <t>b</t>
  </si>
  <si>
    <r>
      <t>V</t>
    </r>
    <r>
      <rPr>
        <vertAlign val="subscript"/>
        <sz val="10"/>
        <rFont val="Arial"/>
        <family val="2"/>
      </rPr>
      <t>biofil</t>
    </r>
  </si>
  <si>
    <t>L</t>
  </si>
  <si>
    <t>&lt;--manning's changed</t>
  </si>
  <si>
    <t>horizontal number of bioswale slope i.e. 1V:3H, z=3 in this instance</t>
  </si>
  <si>
    <t>FC-1</t>
  </si>
  <si>
    <t>depth y</t>
  </si>
  <si>
    <t>FC-2</t>
  </si>
  <si>
    <t>FC-3</t>
  </si>
  <si>
    <t>FC-4</t>
  </si>
  <si>
    <t>ft/ft</t>
  </si>
  <si>
    <t>ft</t>
  </si>
  <si>
    <r>
      <t>z</t>
    </r>
    <r>
      <rPr>
        <vertAlign val="subscript"/>
        <sz val="10"/>
        <rFont val="Arial"/>
        <family val="2"/>
      </rPr>
      <t>foreslope</t>
    </r>
  </si>
  <si>
    <r>
      <t>z</t>
    </r>
    <r>
      <rPr>
        <vertAlign val="subscript"/>
        <sz val="10"/>
        <rFont val="Arial"/>
        <family val="2"/>
      </rPr>
      <t>backslope</t>
    </r>
  </si>
  <si>
    <t>(lowest possible Manning's from HRM)</t>
  </si>
  <si>
    <t>Description:</t>
  </si>
  <si>
    <t>Project:</t>
  </si>
  <si>
    <t>Designed By:</t>
  </si>
  <si>
    <t>Checked By:</t>
  </si>
  <si>
    <t xml:space="preserve"> &lt;--Use pull down box</t>
  </si>
  <si>
    <t>Grass-legume mix on lightly compacted topsoil</t>
  </si>
  <si>
    <r>
      <t>Determine runoff treatment design flow rate Q</t>
    </r>
    <r>
      <rPr>
        <b/>
        <vertAlign val="subscript"/>
        <sz val="10"/>
        <rFont val="Arial"/>
        <family val="2"/>
      </rPr>
      <t>wq</t>
    </r>
  </si>
  <si>
    <t xml:space="preserve">Design Steps </t>
  </si>
  <si>
    <r>
      <t>Determine the biofiltration design flow rate (Q</t>
    </r>
    <r>
      <rPr>
        <b/>
        <vertAlign val="subscript"/>
        <sz val="10"/>
        <rFont val="Arial"/>
        <family val="2"/>
      </rPr>
      <t>biofil</t>
    </r>
    <r>
      <rPr>
        <b/>
        <sz val="10"/>
        <rFont val="Arial"/>
        <family val="2"/>
      </rPr>
      <t>)</t>
    </r>
  </si>
  <si>
    <t>Determine the longitudinal slope of the proposed biofiltration swale (ft/ft)</t>
  </si>
  <si>
    <t>Select a trapezoidal swale cross-sectional shape.</t>
  </si>
  <si>
    <t>D-1</t>
  </si>
  <si>
    <t>D-2</t>
  </si>
  <si>
    <t>D-3</t>
  </si>
  <si>
    <t>D-4</t>
  </si>
  <si>
    <t>D-5</t>
  </si>
  <si>
    <t>D-6</t>
  </si>
  <si>
    <t>D-7</t>
  </si>
  <si>
    <t>Use Manning's Eq and first approximations relating hydraulic radius and dimensions to get width for trapezoidal cross section</t>
  </si>
  <si>
    <t>Enter Final Swale Area</t>
  </si>
  <si>
    <t>If the swale calculations above give a swale width less than 2 feet wide, re-run calculations with 2 foot wide swale, solve for depth y</t>
  </si>
  <si>
    <t>Or if redesigning swale with different dimensions, use below calculator and use Excel Goal Seek to determine new depth of flow.</t>
  </si>
  <si>
    <r>
      <t>Q</t>
    </r>
    <r>
      <rPr>
        <vertAlign val="subscript"/>
        <sz val="10"/>
        <rFont val="Arial"/>
        <family val="2"/>
      </rPr>
      <t xml:space="preserve">biofil </t>
    </r>
  </si>
  <si>
    <t>cfs - runoff treatment design flow rate</t>
  </si>
  <si>
    <t>ft2 - wetted area</t>
  </si>
  <si>
    <t>ft - hydraulic radius</t>
  </si>
  <si>
    <t>ft/ft longitudinal slope of swale</t>
  </si>
  <si>
    <t>ft - design depth flow</t>
  </si>
  <si>
    <t>ft - design depth flow = maximum depth of flow</t>
  </si>
  <si>
    <t>ft - enter new bottom width if applicable (2 foot is minimum)</t>
  </si>
  <si>
    <t>D-10</t>
  </si>
  <si>
    <t>D-9</t>
  </si>
  <si>
    <t>D-7b</t>
  </si>
  <si>
    <t>D-7a</t>
  </si>
  <si>
    <t>D-11</t>
  </si>
  <si>
    <t>S</t>
  </si>
  <si>
    <t>Enter Final Swale R</t>
  </si>
  <si>
    <r>
      <t>Enter Final Swale z</t>
    </r>
    <r>
      <rPr>
        <vertAlign val="subscript"/>
        <sz val="10"/>
        <rFont val="Arial"/>
        <family val="2"/>
      </rPr>
      <t>foreslope</t>
    </r>
  </si>
  <si>
    <r>
      <t>Enter Final Swale z</t>
    </r>
    <r>
      <rPr>
        <vertAlign val="subscript"/>
        <sz val="10"/>
        <rFont val="Arial"/>
        <family val="2"/>
      </rPr>
      <t>backslope</t>
    </r>
  </si>
  <si>
    <t>Enter Final Swale n</t>
  </si>
  <si>
    <t>Enter Final Swale bottom width b</t>
  </si>
  <si>
    <t>Enter Final Swale slope  s</t>
  </si>
  <si>
    <t>Enter Final Swale flow depth y</t>
  </si>
  <si>
    <t>ft2 - Wetted Area</t>
  </si>
  <si>
    <t>Enter Final Bioswale Dimensions from the calculations in Step D-7a or D-7b</t>
  </si>
  <si>
    <t>ft - swale bottom width</t>
  </si>
  <si>
    <r>
      <t>Q</t>
    </r>
    <r>
      <rPr>
        <vertAlign val="subscript"/>
        <sz val="10"/>
        <rFont val="Arial"/>
        <family val="2"/>
      </rPr>
      <t>convey</t>
    </r>
  </si>
  <si>
    <r>
      <t>D</t>
    </r>
    <r>
      <rPr>
        <vertAlign val="subscript"/>
        <sz val="10"/>
        <rFont val="Arial"/>
        <family val="2"/>
      </rPr>
      <t>(total)</t>
    </r>
  </si>
  <si>
    <t>Final Swale Dimensions</t>
  </si>
  <si>
    <t>Swale Length</t>
  </si>
  <si>
    <t>Bottom Width</t>
  </si>
  <si>
    <r>
      <rPr>
        <b/>
        <sz val="14"/>
        <rFont val="Arial"/>
        <family val="2"/>
      </rPr>
      <t>z</t>
    </r>
    <r>
      <rPr>
        <b/>
        <vertAlign val="subscript"/>
        <sz val="11"/>
        <rFont val="Arial"/>
        <family val="2"/>
      </rPr>
      <t>foreslope</t>
    </r>
  </si>
  <si>
    <r>
      <rPr>
        <b/>
        <sz val="14"/>
        <rFont val="Arial"/>
        <family val="2"/>
      </rPr>
      <t>z</t>
    </r>
    <r>
      <rPr>
        <b/>
        <vertAlign val="subscript"/>
        <sz val="11"/>
        <rFont val="Arial"/>
        <family val="2"/>
      </rPr>
      <t>backslope</t>
    </r>
  </si>
  <si>
    <t>WQ Depth</t>
  </si>
  <si>
    <t>Grass-legume mix on lightly compacted topsoil with 3-inch medium compost blanket (CABS)</t>
  </si>
  <si>
    <t xml:space="preserve">2 For information on compost-amended soils, refer to Section 5-4.3.2.  (Note that swales do not require a mulch layer </t>
  </si>
  <si>
    <t>and that compost amendments shall be a 3-inch-thick medium compost blanket over the topsoil.)</t>
  </si>
  <si>
    <r>
      <t>cfs - use goal seek under "What-If Analysis" in the "DATA" menu to set this cell equal to Q</t>
    </r>
    <r>
      <rPr>
        <vertAlign val="subscript"/>
        <sz val="10"/>
        <rFont val="Arial"/>
        <family val="2"/>
      </rPr>
      <t>convey</t>
    </r>
    <r>
      <rPr>
        <sz val="10"/>
        <rFont val="Arial"/>
        <family val="0"/>
      </rPr>
      <t xml:space="preserve"> above changing the "y" value</t>
    </r>
  </si>
  <si>
    <r>
      <t>cfs - use goal seek under "What-If Analysis" in the "DATA" menu to set this cell equal to Q</t>
    </r>
    <r>
      <rPr>
        <vertAlign val="subscript"/>
        <sz val="10"/>
        <rFont val="Arial"/>
        <family val="2"/>
      </rPr>
      <t>biofil</t>
    </r>
    <r>
      <rPr>
        <sz val="10"/>
        <rFont val="Arial"/>
        <family val="0"/>
      </rPr>
      <t xml:space="preserve"> above changing the "y" value</t>
    </r>
  </si>
  <si>
    <r>
      <t>cfs - use goal seek under "What-If Analysis" in the "DATA" menu to set this cell equal to Q</t>
    </r>
    <r>
      <rPr>
        <vertAlign val="subscript"/>
        <sz val="10"/>
        <rFont val="Arial"/>
        <family val="2"/>
      </rPr>
      <t>biofil</t>
    </r>
    <r>
      <rPr>
        <sz val="10"/>
        <rFont val="Arial"/>
        <family val="0"/>
      </rPr>
      <t xml:space="preserve"> above changing the "b" value</t>
    </r>
  </si>
  <si>
    <t>(ft) design depth of flow; for basic biofiltration swale and CABS = 4" max (0.33 ft max) for WQ event</t>
  </si>
  <si>
    <t>Note:  Depth of flow for basic biofiltration swale and CABS = 4" max (0.33 ft max) for WQ event</t>
  </si>
  <si>
    <t>ft, total required swale depth. Does not take into account design standards for minimum ditch depth from the Design Manual (roadway sections)</t>
  </si>
  <si>
    <t>Swale Longitudinal Slope</t>
  </si>
  <si>
    <t>Does the bioswale need to be redesigned to fit within the provided right of way?</t>
  </si>
  <si>
    <t>Use Excel Solver</t>
  </si>
  <si>
    <t>Usage Instructions:</t>
  </si>
  <si>
    <t>This spreadsheet was designed for trapezoidal channels only.</t>
  </si>
  <si>
    <t>From HRM Table 5-3</t>
  </si>
  <si>
    <t>2014 HRM Table 5-3 Flow resistance coefficent in basic, wet, and continuous inflow biofiltration swales</t>
  </si>
  <si>
    <r>
      <t>1</t>
    </r>
    <r>
      <rPr>
        <sz val="9"/>
        <rFont val="Times New Roman"/>
        <family val="1"/>
      </rPr>
      <t xml:space="preserve"> Specify that topsoil extends to at least an 8-inch depth per Figure 5-11.</t>
    </r>
  </si>
  <si>
    <t>Select the design depth of flow y (see HRM Table 5-4)</t>
  </si>
  <si>
    <t>HRM Chapter 5 Equation E-11</t>
  </si>
  <si>
    <t>Manning's n=</t>
  </si>
  <si>
    <t>ft - bioswale bottom width</t>
  </si>
  <si>
    <t xml:space="preserve">Runoff treatment design flow rate is for the area going to the head of the swale + sideslope areas </t>
  </si>
  <si>
    <t>that are downstream of the head of the swale but are contributing flow to the swale.  Flows are from MGS Flood OR SBUH.</t>
  </si>
  <si>
    <t>Please enter the online design flow rate</t>
  </si>
  <si>
    <t>D-8a</t>
  </si>
  <si>
    <t>D-8b</t>
  </si>
  <si>
    <t>Break basin into areas so that no area contributes more than 10% of flow.  Include only areas that discharge sheet flow to the vegetated side slopes and biofiltration swale.</t>
  </si>
  <si>
    <t>design flow depth (ft) also assumed to be the hydraulic radius =1.0 inch max (0.083 ft) of sides of bioswale</t>
  </si>
  <si>
    <t>Area 1</t>
  </si>
  <si>
    <r>
      <t>Q</t>
    </r>
    <r>
      <rPr>
        <vertAlign val="subscript"/>
        <sz val="10"/>
        <rFont val="Arial"/>
        <family val="2"/>
      </rPr>
      <t>WQ1</t>
    </r>
  </si>
  <si>
    <t>cfs</t>
  </si>
  <si>
    <t>Flow determined from MGS Flood as per HRM</t>
  </si>
  <si>
    <r>
      <t>L</t>
    </r>
    <r>
      <rPr>
        <vertAlign val="subscript"/>
        <sz val="10"/>
        <rFont val="Arial"/>
        <family val="2"/>
      </rPr>
      <t>1,ss</t>
    </r>
  </si>
  <si>
    <t>length of portion parallel to pavement edge (ft)</t>
  </si>
  <si>
    <t>Area 2</t>
  </si>
  <si>
    <r>
      <t>Q</t>
    </r>
    <r>
      <rPr>
        <vertAlign val="subscript"/>
        <sz val="10"/>
        <rFont val="Arial"/>
        <family val="2"/>
      </rPr>
      <t>WQ2</t>
    </r>
  </si>
  <si>
    <r>
      <t>L</t>
    </r>
    <r>
      <rPr>
        <vertAlign val="subscript"/>
        <sz val="10"/>
        <rFont val="Arial"/>
        <family val="2"/>
      </rPr>
      <t>2,ss</t>
    </r>
  </si>
  <si>
    <t>Area 3</t>
  </si>
  <si>
    <r>
      <t>Q</t>
    </r>
    <r>
      <rPr>
        <vertAlign val="subscript"/>
        <sz val="10"/>
        <rFont val="Arial"/>
        <family val="2"/>
      </rPr>
      <t>WQ3</t>
    </r>
  </si>
  <si>
    <r>
      <t>L</t>
    </r>
    <r>
      <rPr>
        <vertAlign val="subscript"/>
        <sz val="10"/>
        <rFont val="Arial"/>
        <family val="2"/>
      </rPr>
      <t>3,ss</t>
    </r>
  </si>
  <si>
    <t>Area 4</t>
  </si>
  <si>
    <r>
      <t>Q</t>
    </r>
    <r>
      <rPr>
        <vertAlign val="subscript"/>
        <sz val="10"/>
        <rFont val="Arial"/>
        <family val="2"/>
      </rPr>
      <t>WQ4</t>
    </r>
  </si>
  <si>
    <r>
      <t>L</t>
    </r>
    <r>
      <rPr>
        <vertAlign val="subscript"/>
        <sz val="10"/>
        <rFont val="Arial"/>
        <family val="2"/>
      </rPr>
      <t>4,ss</t>
    </r>
  </si>
  <si>
    <t>Area 5</t>
  </si>
  <si>
    <r>
      <t>Q</t>
    </r>
    <r>
      <rPr>
        <vertAlign val="subscript"/>
        <sz val="10"/>
        <rFont val="Arial"/>
        <family val="2"/>
      </rPr>
      <t>WQ5</t>
    </r>
  </si>
  <si>
    <r>
      <t>L</t>
    </r>
    <r>
      <rPr>
        <vertAlign val="subscript"/>
        <sz val="10"/>
        <rFont val="Arial"/>
        <family val="2"/>
      </rPr>
      <t>5,ss</t>
    </r>
  </si>
  <si>
    <t>Area 6</t>
  </si>
  <si>
    <r>
      <t>Q</t>
    </r>
    <r>
      <rPr>
        <vertAlign val="subscript"/>
        <sz val="10"/>
        <rFont val="Arial"/>
        <family val="2"/>
      </rPr>
      <t>WQ6</t>
    </r>
  </si>
  <si>
    <r>
      <t>L</t>
    </r>
    <r>
      <rPr>
        <vertAlign val="subscript"/>
        <sz val="10"/>
        <rFont val="Arial"/>
        <family val="2"/>
      </rPr>
      <t>6,ss</t>
    </r>
  </si>
  <si>
    <t>Area 7</t>
  </si>
  <si>
    <r>
      <t>Q</t>
    </r>
    <r>
      <rPr>
        <vertAlign val="subscript"/>
        <sz val="10"/>
        <rFont val="Arial"/>
        <family val="2"/>
      </rPr>
      <t>WQ7</t>
    </r>
  </si>
  <si>
    <r>
      <t>L</t>
    </r>
    <r>
      <rPr>
        <vertAlign val="subscript"/>
        <sz val="10"/>
        <rFont val="Arial"/>
        <family val="2"/>
      </rPr>
      <t>7,ss</t>
    </r>
  </si>
  <si>
    <t>Area 8</t>
  </si>
  <si>
    <r>
      <t>Q</t>
    </r>
    <r>
      <rPr>
        <vertAlign val="subscript"/>
        <sz val="10"/>
        <rFont val="Arial"/>
        <family val="2"/>
      </rPr>
      <t>WQ8</t>
    </r>
  </si>
  <si>
    <r>
      <t>L</t>
    </r>
    <r>
      <rPr>
        <vertAlign val="subscript"/>
        <sz val="10"/>
        <rFont val="Arial"/>
        <family val="2"/>
      </rPr>
      <t>8,ss</t>
    </r>
  </si>
  <si>
    <t>D-8c</t>
  </si>
  <si>
    <t>Determine the velocity of flows through each vegetated side slope</t>
  </si>
  <si>
    <t>These are automatically calculated in each area tab based on input above.</t>
  </si>
  <si>
    <t>D-8d</t>
  </si>
  <si>
    <r>
      <t>Determine the hydraulic resistance time, t</t>
    </r>
    <r>
      <rPr>
        <b/>
        <vertAlign val="subscript"/>
        <sz val="10"/>
        <rFont val="Arial"/>
        <family val="2"/>
      </rPr>
      <t>ss</t>
    </r>
    <r>
      <rPr>
        <b/>
        <sz val="10"/>
        <rFont val="Arial"/>
        <family val="2"/>
      </rPr>
      <t xml:space="preserve"> for each vegetated side slope</t>
    </r>
  </si>
  <si>
    <r>
      <t>Q</t>
    </r>
    <r>
      <rPr>
        <vertAlign val="subscript"/>
        <sz val="10"/>
        <rFont val="Arial"/>
        <family val="2"/>
      </rPr>
      <t>1,ss</t>
    </r>
  </si>
  <si>
    <r>
      <t>t</t>
    </r>
    <r>
      <rPr>
        <vertAlign val="subscript"/>
        <sz val="10"/>
        <rFont val="Arial"/>
        <family val="2"/>
      </rPr>
      <t>1,ss</t>
    </r>
  </si>
  <si>
    <t>sec</t>
  </si>
  <si>
    <r>
      <t>Q</t>
    </r>
    <r>
      <rPr>
        <vertAlign val="subscript"/>
        <sz val="10"/>
        <rFont val="Arial"/>
        <family val="2"/>
      </rPr>
      <t>2,ss</t>
    </r>
  </si>
  <si>
    <r>
      <t>t</t>
    </r>
    <r>
      <rPr>
        <vertAlign val="subscript"/>
        <sz val="10"/>
        <rFont val="Arial"/>
        <family val="2"/>
      </rPr>
      <t>2,ss</t>
    </r>
  </si>
  <si>
    <r>
      <t>Q</t>
    </r>
    <r>
      <rPr>
        <vertAlign val="subscript"/>
        <sz val="10"/>
        <rFont val="Arial"/>
        <family val="2"/>
      </rPr>
      <t>3,ss</t>
    </r>
  </si>
  <si>
    <r>
      <t>t</t>
    </r>
    <r>
      <rPr>
        <vertAlign val="subscript"/>
        <sz val="10"/>
        <rFont val="Arial"/>
        <family val="2"/>
      </rPr>
      <t>3,ss</t>
    </r>
  </si>
  <si>
    <r>
      <t>Q</t>
    </r>
    <r>
      <rPr>
        <vertAlign val="subscript"/>
        <sz val="10"/>
        <rFont val="Arial"/>
        <family val="2"/>
      </rPr>
      <t>4,ss</t>
    </r>
  </si>
  <si>
    <r>
      <t>t</t>
    </r>
    <r>
      <rPr>
        <vertAlign val="subscript"/>
        <sz val="10"/>
        <rFont val="Arial"/>
        <family val="2"/>
      </rPr>
      <t>4,ss</t>
    </r>
  </si>
  <si>
    <r>
      <t>Q</t>
    </r>
    <r>
      <rPr>
        <vertAlign val="subscript"/>
        <sz val="10"/>
        <rFont val="Arial"/>
        <family val="2"/>
      </rPr>
      <t>5,ss</t>
    </r>
  </si>
  <si>
    <r>
      <t>t</t>
    </r>
    <r>
      <rPr>
        <vertAlign val="subscript"/>
        <sz val="10"/>
        <rFont val="Arial"/>
        <family val="2"/>
      </rPr>
      <t>5,ss</t>
    </r>
  </si>
  <si>
    <r>
      <t>Q</t>
    </r>
    <r>
      <rPr>
        <vertAlign val="subscript"/>
        <sz val="10"/>
        <rFont val="Arial"/>
        <family val="2"/>
      </rPr>
      <t>6,ss</t>
    </r>
  </si>
  <si>
    <r>
      <t>t</t>
    </r>
    <r>
      <rPr>
        <vertAlign val="subscript"/>
        <sz val="10"/>
        <rFont val="Arial"/>
        <family val="2"/>
      </rPr>
      <t>6,ss</t>
    </r>
  </si>
  <si>
    <r>
      <t>Q</t>
    </r>
    <r>
      <rPr>
        <vertAlign val="subscript"/>
        <sz val="10"/>
        <rFont val="Arial"/>
        <family val="2"/>
      </rPr>
      <t>7,ss</t>
    </r>
  </si>
  <si>
    <r>
      <t>t</t>
    </r>
    <r>
      <rPr>
        <vertAlign val="subscript"/>
        <sz val="10"/>
        <rFont val="Arial"/>
        <family val="2"/>
      </rPr>
      <t>7,ss</t>
    </r>
  </si>
  <si>
    <r>
      <t>Q</t>
    </r>
    <r>
      <rPr>
        <vertAlign val="subscript"/>
        <sz val="10"/>
        <rFont val="Arial"/>
        <family val="2"/>
      </rPr>
      <t>8,ss</t>
    </r>
  </si>
  <si>
    <r>
      <t>t</t>
    </r>
    <r>
      <rPr>
        <vertAlign val="subscript"/>
        <sz val="10"/>
        <rFont val="Arial"/>
        <family val="2"/>
      </rPr>
      <t>8,ss</t>
    </r>
  </si>
  <si>
    <t>D-8e</t>
  </si>
  <si>
    <r>
      <t>Determine the weighted mean hydraulic resistance time, t</t>
    </r>
    <r>
      <rPr>
        <b/>
        <vertAlign val="subscript"/>
        <sz val="10"/>
        <rFont val="Arial"/>
        <family val="2"/>
      </rPr>
      <t>mean,ss</t>
    </r>
    <r>
      <rPr>
        <b/>
        <sz val="10"/>
        <rFont val="Arial"/>
        <family val="2"/>
      </rPr>
      <t xml:space="preserve"> for all flows passing through vegetated side slopes</t>
    </r>
  </si>
  <si>
    <r>
      <t>Q</t>
    </r>
    <r>
      <rPr>
        <vertAlign val="subscript"/>
        <sz val="10"/>
        <rFont val="Arial"/>
        <family val="2"/>
      </rPr>
      <t>total,ss</t>
    </r>
  </si>
  <si>
    <r>
      <t>t</t>
    </r>
    <r>
      <rPr>
        <vertAlign val="subscript"/>
        <sz val="10"/>
        <rFont val="Arial"/>
        <family val="2"/>
      </rPr>
      <t>mean,ss</t>
    </r>
  </si>
  <si>
    <t>D-8f</t>
  </si>
  <si>
    <r>
      <t>Q</t>
    </r>
    <r>
      <rPr>
        <vertAlign val="subscript"/>
        <sz val="10"/>
        <rFont val="Arial"/>
        <family val="2"/>
      </rPr>
      <t>total,ss</t>
    </r>
    <r>
      <rPr>
        <sz val="10"/>
        <rFont val="Arial"/>
        <family val="0"/>
      </rPr>
      <t>/</t>
    </r>
    <r>
      <rPr>
        <sz val="10"/>
        <rFont val="Arial"/>
        <family val="2"/>
      </rPr>
      <t>Q</t>
    </r>
    <r>
      <rPr>
        <vertAlign val="subscript"/>
        <sz val="10"/>
        <rFont val="Arial"/>
        <family val="2"/>
      </rPr>
      <t>biofil</t>
    </r>
  </si>
  <si>
    <r>
      <t>t</t>
    </r>
    <r>
      <rPr>
        <vertAlign val="subscript"/>
        <sz val="10"/>
        <rFont val="Arial"/>
        <family val="2"/>
      </rPr>
      <t>adj</t>
    </r>
  </si>
  <si>
    <t>The head of the swale should be located upstream of the vegetated side slopes and the swale is located along the entire toe of the contributing vegetated side slopes.</t>
  </si>
  <si>
    <t>D-8g</t>
  </si>
  <si>
    <r>
      <t>t</t>
    </r>
    <r>
      <rPr>
        <vertAlign val="subscript"/>
        <sz val="10"/>
        <rFont val="Arial"/>
        <family val="2"/>
      </rPr>
      <t>design</t>
    </r>
  </si>
  <si>
    <r>
      <t>Subtract t</t>
    </r>
    <r>
      <rPr>
        <vertAlign val="subscript"/>
        <sz val="10"/>
        <rFont val="Arial"/>
        <family val="2"/>
      </rPr>
      <t>adj</t>
    </r>
    <r>
      <rPr>
        <sz val="10"/>
        <rFont val="Arial"/>
        <family val="2"/>
      </rPr>
      <t xml:space="preserve"> from 18 minutes residence time; 1080-t</t>
    </r>
    <r>
      <rPr>
        <vertAlign val="subscript"/>
        <sz val="10"/>
        <rFont val="Arial"/>
        <family val="2"/>
      </rPr>
      <t>adj</t>
    </r>
  </si>
  <si>
    <r>
      <t>Q</t>
    </r>
    <r>
      <rPr>
        <vertAlign val="subscript"/>
        <sz val="10"/>
        <rFont val="Arial"/>
        <family val="2"/>
      </rPr>
      <t>biofil</t>
    </r>
    <r>
      <rPr>
        <sz val="10"/>
        <rFont val="Arial"/>
        <family val="0"/>
      </rPr>
      <t>/A</t>
    </r>
  </si>
  <si>
    <r>
      <t>if V</t>
    </r>
    <r>
      <rPr>
        <vertAlign val="subscript"/>
        <sz val="10"/>
        <rFont val="Arial"/>
        <family val="2"/>
      </rPr>
      <t>biofil</t>
    </r>
    <r>
      <rPr>
        <sz val="10"/>
        <rFont val="Arial"/>
        <family val="0"/>
      </rPr>
      <t>&gt;1.0 ft/sec, go back to Step D-7 to D-9 increase swale bottom width or investigate ways to reduce Q</t>
    </r>
    <r>
      <rPr>
        <vertAlign val="subscript"/>
        <sz val="10"/>
        <rFont val="Arial"/>
        <family val="2"/>
      </rPr>
      <t>WQ.</t>
    </r>
  </si>
  <si>
    <t>Required length for treatment.  Length must be at least as long as contributing side slopes!</t>
  </si>
  <si>
    <r>
      <t>L</t>
    </r>
    <r>
      <rPr>
        <vertAlign val="subscript"/>
        <sz val="10"/>
        <rFont val="Arial"/>
        <family val="2"/>
      </rPr>
      <t>total</t>
    </r>
  </si>
  <si>
    <t>Sum of vegetated side slopes lengths (assumes only those 8 areas listed above)</t>
  </si>
  <si>
    <r>
      <t>L</t>
    </r>
    <r>
      <rPr>
        <vertAlign val="subscript"/>
        <sz val="10"/>
        <rFont val="Arial"/>
        <family val="2"/>
      </rPr>
      <t>design</t>
    </r>
  </si>
  <si>
    <t>Necessary Design Length of continuous inflow biofiltration swale</t>
  </si>
  <si>
    <r>
      <t>Step 1: Determine the runoff treatment design flow (Q</t>
    </r>
    <r>
      <rPr>
        <b/>
        <vertAlign val="subscript"/>
        <sz val="10"/>
        <rFont val="Arial"/>
        <family val="2"/>
      </rPr>
      <t>WQ</t>
    </r>
    <r>
      <rPr>
        <b/>
        <sz val="10"/>
        <rFont val="Arial"/>
        <family val="2"/>
      </rPr>
      <t>)</t>
    </r>
  </si>
  <si>
    <r>
      <t>Q</t>
    </r>
    <r>
      <rPr>
        <vertAlign val="subscript"/>
        <sz val="10"/>
        <rFont val="Arial"/>
        <family val="2"/>
      </rPr>
      <t>WQ</t>
    </r>
  </si>
  <si>
    <r>
      <t>Q</t>
    </r>
    <r>
      <rPr>
        <vertAlign val="subscript"/>
        <sz val="10"/>
        <rFont val="Arial"/>
        <family val="2"/>
      </rPr>
      <t>1,ss</t>
    </r>
    <r>
      <rPr>
        <sz val="10"/>
        <rFont val="Arial"/>
        <family val="0"/>
      </rPr>
      <t>=k*</t>
    </r>
    <r>
      <rPr>
        <sz val="10"/>
        <rFont val="Arial"/>
        <family val="2"/>
      </rPr>
      <t>Q</t>
    </r>
    <r>
      <rPr>
        <vertAlign val="subscript"/>
        <sz val="10"/>
        <rFont val="Arial"/>
        <family val="2"/>
      </rPr>
      <t>WQ</t>
    </r>
  </si>
  <si>
    <r>
      <t>Step 2: Calculate the design flow depth at Q</t>
    </r>
    <r>
      <rPr>
        <b/>
        <vertAlign val="subscript"/>
        <sz val="10"/>
        <rFont val="Arial"/>
        <family val="2"/>
      </rPr>
      <t>vfs</t>
    </r>
  </si>
  <si>
    <t xml:space="preserve">  &lt;-----Use pull down box - Manning's coefficient for VFS HRM Table 5-2</t>
  </si>
  <si>
    <t>design flow depth (ft) also assumed to be the hydraulic radius =1.0 in max (0.083 ft)</t>
  </si>
  <si>
    <r>
      <t>s</t>
    </r>
    <r>
      <rPr>
        <vertAlign val="subscript"/>
        <sz val="10"/>
        <rFont val="Arial"/>
        <family val="2"/>
      </rPr>
      <t>(foreslope)</t>
    </r>
  </si>
  <si>
    <r>
      <t>y</t>
    </r>
    <r>
      <rPr>
        <vertAlign val="subscript"/>
        <sz val="10"/>
        <rFont val="Arial"/>
        <family val="2"/>
      </rPr>
      <t>calculated</t>
    </r>
  </si>
  <si>
    <t>design flow depth (ft) calculated from Manning's Equations</t>
  </si>
  <si>
    <t>Step 3: Calculate the design flow velocity passing through the portion of</t>
  </si>
  <si>
    <t>bioswale at the bioswale design flow rate</t>
  </si>
  <si>
    <r>
      <t>V</t>
    </r>
    <r>
      <rPr>
        <vertAlign val="subscript"/>
        <sz val="10"/>
        <rFont val="Arial"/>
        <family val="2"/>
      </rPr>
      <t>1,ss</t>
    </r>
  </si>
  <si>
    <t>Design flow velocity (ft/sec)</t>
  </si>
  <si>
    <r>
      <t>Step 4: Determine the hydraulic resistance time within each vegetated side slope, t</t>
    </r>
    <r>
      <rPr>
        <b/>
        <vertAlign val="subscript"/>
        <sz val="10"/>
        <rFont val="Arial"/>
        <family val="2"/>
      </rPr>
      <t>1,ss</t>
    </r>
  </si>
  <si>
    <r>
      <t>L</t>
    </r>
    <r>
      <rPr>
        <vertAlign val="subscript"/>
        <sz val="10"/>
        <rFont val="Arial"/>
        <family val="2"/>
      </rPr>
      <t>1,ss</t>
    </r>
    <r>
      <rPr>
        <sz val="10"/>
        <rFont val="Arial"/>
        <family val="0"/>
      </rPr>
      <t>/V</t>
    </r>
    <r>
      <rPr>
        <vertAlign val="subscript"/>
        <sz val="10"/>
        <rFont val="Arial"/>
        <family val="2"/>
      </rPr>
      <t>1,ss</t>
    </r>
  </si>
  <si>
    <r>
      <t>sec  -  t</t>
    </r>
    <r>
      <rPr>
        <vertAlign val="subscript"/>
        <sz val="10"/>
        <rFont val="Arial"/>
        <family val="2"/>
      </rPr>
      <t xml:space="preserve">mean,ss </t>
    </r>
    <r>
      <rPr>
        <sz val="10"/>
        <rFont val="Arial"/>
        <family val="0"/>
      </rPr>
      <t>x R</t>
    </r>
  </si>
  <si>
    <t>ft/s</t>
  </si>
  <si>
    <t>CONTINUOUS INFLOW BIOSWALE SPREADSHEET VERSION 2.1</t>
  </si>
  <si>
    <t>Select a soil and vegetation cover suitable for the biofiltration swale</t>
  </si>
  <si>
    <r>
      <t>Determine the adjusted hydraulic residence time t</t>
    </r>
    <r>
      <rPr>
        <vertAlign val="subscript"/>
        <sz val="10"/>
        <rFont val="Arial"/>
        <family val="2"/>
      </rPr>
      <t>adj</t>
    </r>
  </si>
  <si>
    <t>slope of portion parallel to the direction of flow (ft/ft)</t>
  </si>
  <si>
    <t>Rearranging the Manning's equation above yields:</t>
  </si>
  <si>
    <t>This is done using a form of Manning's Equation as shown below:</t>
  </si>
  <si>
    <t>Is the bioswale in eastern WA?</t>
  </si>
  <si>
    <t xml:space="preserve">This spreadsheet is used to design one continuous inflow bioswale.  It contains a main 'ContinuousInflowBioswale_Tmpt' bioswale design template spreadsheet with supporting individual 'Area' spreadsheets that represent the side flow from vegetated filter strips.  All of these sheets work together for one continuous inflow bioswale design.  Copy this entire file if designing another continuous inflow bioswale.  The spreadsheet works for continuous inflow bioswale designs for both eastern WA and western WA.  </t>
  </si>
  <si>
    <t>BMP RT.06 Continuous Inflow Biofiltration Swale of the WSDOT 2014 Highway Runoff Manual should be consulted during the design.  Please contact Alex Nguyen at nguyeal@wsdot.wa.gov for questions/comments regarding this spreadsheet.</t>
  </si>
  <si>
    <t>RT.06  - Continuous Inflow Biofiltration Swale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</si>
</sst>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
    <numFmt numFmtId="167" formatCode="0.000000"/>
    <numFmt numFmtId="168" formatCode="0.0000"/>
    <numFmt numFmtId="169" formatCode="0.00000000"/>
    <numFmt numFmtId="170" formatCode="0.0000000"/>
    <numFmt numFmtId="171" formatCode="[$-409]dddd\,\ mmmm\ dd\,\ yyyy"/>
    <numFmt numFmtId="172" formatCode="[$-409]h:mm:ss\ AM/PM"/>
    <numFmt numFmtId="173" formatCode="0.000000000000000"/>
    <numFmt numFmtId="174" formatCode="&quot;Yes&quot;;&quot;Yes&quot;;&quot;No&quot;"/>
    <numFmt numFmtId="175" formatCode="&quot;True&quot;;&quot;True&quot;;&quot;False&quot;"/>
    <numFmt numFmtId="176" formatCode="&quot;On&quot;;&quot;On&quot;;&quot;Off&quot;"/>
    <numFmt numFmtId="177" formatCode="[$€-2]\ #,##0.00_);[Red]\([$€-2]\ #,##0.00\)"/>
  </numFmts>
  <fonts count="48">
    <font>
      <sz val="10"/>
      <name val="Arial"/>
      <family val="0"/>
    </font>
    <font>
      <vertAlign val="subscript"/>
      <sz val="10"/>
      <name val="Arial"/>
      <family val="2"/>
    </font>
    <font>
      <b/>
      <sz val="10"/>
      <name val="Arial"/>
      <family val="2"/>
    </font>
    <font>
      <b/>
      <vertAlign val="subscript"/>
      <sz val="10"/>
      <name val="Arial"/>
      <family val="2"/>
    </font>
    <font>
      <sz val="8"/>
      <name val="Arial"/>
      <family val="2"/>
    </font>
    <font>
      <sz val="10"/>
      <color indexed="10"/>
      <name val="Arial"/>
      <family val="2"/>
    </font>
    <font>
      <b/>
      <u val="single"/>
      <sz val="12"/>
      <name val="Arial"/>
      <family val="2"/>
    </font>
    <font>
      <u val="single"/>
      <sz val="10"/>
      <color indexed="12"/>
      <name val="Arial"/>
      <family val="2"/>
    </font>
    <font>
      <b/>
      <sz val="11"/>
      <name val="Arial"/>
      <family val="2"/>
    </font>
    <font>
      <b/>
      <vertAlign val="subscript"/>
      <sz val="11"/>
      <name val="Arial"/>
      <family val="2"/>
    </font>
    <font>
      <b/>
      <sz val="14"/>
      <name val="Arial"/>
      <family val="2"/>
    </font>
    <font>
      <sz val="9"/>
      <name val="Times New Roman"/>
      <family val="1"/>
    </font>
    <font>
      <vertAlign val="superscrip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2"/>
        <bgColor indexed="64"/>
      </patternFill>
    </fill>
    <fill>
      <patternFill patternType="solid">
        <fgColor indexed="11"/>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medium"/>
    </border>
    <border>
      <left>
        <color indexed="63"/>
      </left>
      <right>
        <color indexed="63"/>
      </right>
      <top style="thin"/>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3">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Alignment="1">
      <alignment horizontal="center"/>
    </xf>
    <xf numFmtId="0" fontId="2" fillId="0" borderId="10" xfId="0" applyFont="1" applyBorder="1" applyAlignment="1">
      <alignment/>
    </xf>
    <xf numFmtId="0" fontId="2" fillId="0" borderId="10" xfId="0" applyFont="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10" xfId="0" applyFont="1" applyBorder="1" applyAlignment="1">
      <alignment/>
    </xf>
    <xf numFmtId="0" fontId="0" fillId="0" borderId="10" xfId="0" applyFont="1" applyBorder="1" applyAlignment="1">
      <alignment wrapText="1"/>
    </xf>
    <xf numFmtId="0" fontId="0" fillId="0" borderId="0" xfId="0" applyAlignment="1">
      <alignment/>
    </xf>
    <xf numFmtId="0" fontId="0" fillId="0" borderId="0" xfId="0" applyFont="1" applyAlignment="1">
      <alignment/>
    </xf>
    <xf numFmtId="0" fontId="12" fillId="0" borderId="0" xfId="0" applyFont="1" applyAlignment="1">
      <alignment vertical="center"/>
    </xf>
    <xf numFmtId="0" fontId="2" fillId="0" borderId="0" xfId="0" applyFont="1" applyAlignment="1" applyProtection="1">
      <alignment/>
      <protection locked="0"/>
    </xf>
    <xf numFmtId="0" fontId="0" fillId="0" borderId="0" xfId="0" applyFont="1" applyAlignment="1" applyProtection="1">
      <alignment/>
      <protection locked="0"/>
    </xf>
    <xf numFmtId="164" fontId="0" fillId="0" borderId="0" xfId="0" applyNumberFormat="1" applyAlignment="1" applyProtection="1">
      <alignment/>
      <protection locked="0"/>
    </xf>
    <xf numFmtId="0" fontId="0" fillId="0" borderId="0" xfId="0" applyAlignment="1" applyProtection="1">
      <alignment/>
      <protection locked="0"/>
    </xf>
    <xf numFmtId="0" fontId="0" fillId="0" borderId="0" xfId="56" applyProtection="1">
      <alignment/>
      <protection locked="0"/>
    </xf>
    <xf numFmtId="0" fontId="0" fillId="0" borderId="0" xfId="56" applyAlignment="1" applyProtection="1">
      <alignment horizontal="left"/>
      <protection locked="0"/>
    </xf>
    <xf numFmtId="0" fontId="0" fillId="0" borderId="0" xfId="56" applyFont="1" applyAlignment="1" applyProtection="1">
      <alignment horizontal="left"/>
      <protection locked="0"/>
    </xf>
    <xf numFmtId="0" fontId="0" fillId="0" borderId="0" xfId="56" applyFont="1" applyFill="1" applyProtection="1">
      <alignment/>
      <protection locked="0"/>
    </xf>
    <xf numFmtId="0" fontId="0" fillId="0" borderId="0" xfId="56" applyFill="1" applyProtection="1">
      <alignment/>
      <protection locked="0"/>
    </xf>
    <xf numFmtId="164" fontId="0" fillId="33" borderId="10" xfId="0" applyNumberFormat="1" applyFill="1" applyBorder="1" applyAlignment="1" applyProtection="1">
      <alignment/>
      <protection locked="0"/>
    </xf>
    <xf numFmtId="0" fontId="0" fillId="33" borderId="11" xfId="0" applyFill="1" applyBorder="1" applyAlignment="1" applyProtection="1">
      <alignment/>
      <protection locked="0"/>
    </xf>
    <xf numFmtId="2" fontId="0" fillId="33" borderId="10" xfId="0" applyNumberFormat="1" applyFill="1" applyBorder="1" applyAlignment="1" applyProtection="1">
      <alignment horizontal="right"/>
      <protection locked="0"/>
    </xf>
    <xf numFmtId="2" fontId="0" fillId="6" borderId="10" xfId="0" applyNumberFormat="1" applyFont="1" applyFill="1" applyBorder="1" applyAlignment="1" applyProtection="1">
      <alignment/>
      <protection locked="0"/>
    </xf>
    <xf numFmtId="2" fontId="0" fillId="34" borderId="10" xfId="0" applyNumberFormat="1" applyFill="1" applyBorder="1" applyAlignment="1" applyProtection="1">
      <alignment/>
      <protection locked="0"/>
    </xf>
    <xf numFmtId="2" fontId="0" fillId="34" borderId="10" xfId="0" applyNumberFormat="1" applyFont="1" applyFill="1" applyBorder="1" applyAlignment="1" applyProtection="1">
      <alignment/>
      <protection locked="0"/>
    </xf>
    <xf numFmtId="164" fontId="0" fillId="6" borderId="10" xfId="0" applyNumberFormat="1" applyFont="1" applyFill="1" applyBorder="1" applyAlignment="1" applyProtection="1">
      <alignment/>
      <protection locked="0"/>
    </xf>
    <xf numFmtId="2" fontId="0" fillId="6" borderId="10" xfId="0" applyNumberFormat="1" applyFill="1" applyBorder="1" applyAlignment="1" applyProtection="1">
      <alignment/>
      <protection locked="0"/>
    </xf>
    <xf numFmtId="2" fontId="0" fillId="33" borderId="10" xfId="0" applyNumberFormat="1" applyFill="1" applyBorder="1" applyAlignment="1" applyProtection="1">
      <alignment/>
      <protection locked="0"/>
    </xf>
    <xf numFmtId="2" fontId="0" fillId="6" borderId="12" xfId="56" applyNumberFormat="1" applyFill="1" applyBorder="1" applyAlignment="1" applyProtection="1">
      <alignment horizontal="right"/>
      <protection locked="0"/>
    </xf>
    <xf numFmtId="2" fontId="0" fillId="6" borderId="13" xfId="56" applyNumberFormat="1" applyFill="1" applyBorder="1" applyAlignment="1" applyProtection="1">
      <alignment horizontal="right"/>
      <protection locked="0"/>
    </xf>
    <xf numFmtId="0" fontId="2" fillId="0" borderId="0" xfId="0" applyFont="1" applyAlignment="1" applyProtection="1">
      <alignment/>
      <protection/>
    </xf>
    <xf numFmtId="0" fontId="0" fillId="0" borderId="0" xfId="0" applyFont="1" applyAlignment="1" applyProtection="1">
      <alignment/>
      <protection/>
    </xf>
    <xf numFmtId="164" fontId="0" fillId="0" borderId="0" xfId="0" applyNumberFormat="1" applyAlignment="1" applyProtection="1">
      <alignment/>
      <protection/>
    </xf>
    <xf numFmtId="0" fontId="0" fillId="0" borderId="0" xfId="0" applyAlignment="1" applyProtection="1">
      <alignment/>
      <protection/>
    </xf>
    <xf numFmtId="0" fontId="0" fillId="0" borderId="0" xfId="56" applyFont="1" applyAlignment="1" applyProtection="1">
      <alignment horizontal="left"/>
      <protection/>
    </xf>
    <xf numFmtId="0" fontId="6" fillId="0" borderId="0" xfId="0" applyFont="1" applyAlignment="1" applyProtection="1">
      <alignment/>
      <protection/>
    </xf>
    <xf numFmtId="0" fontId="0" fillId="0" borderId="0" xfId="0" applyFont="1" applyAlignment="1" applyProtection="1">
      <alignment horizontal="right"/>
      <protection/>
    </xf>
    <xf numFmtId="0" fontId="47" fillId="0" borderId="0" xfId="0" applyFont="1" applyAlignment="1" applyProtection="1">
      <alignment horizontal="left"/>
      <protection/>
    </xf>
    <xf numFmtId="0" fontId="0" fillId="0" borderId="0" xfId="0" applyAlignment="1" applyProtection="1">
      <alignment horizontal="left"/>
      <protection/>
    </xf>
    <xf numFmtId="0" fontId="0" fillId="0" borderId="14" xfId="0" applyFill="1" applyBorder="1" applyAlignment="1" applyProtection="1">
      <alignment/>
      <protection/>
    </xf>
    <xf numFmtId="0" fontId="47" fillId="0" borderId="0" xfId="0" applyFont="1" applyAlignment="1" applyProtection="1">
      <alignment horizontal="right"/>
      <protection/>
    </xf>
    <xf numFmtId="0" fontId="47"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right"/>
      <protection/>
    </xf>
    <xf numFmtId="2" fontId="0" fillId="0" borderId="0" xfId="0" applyNumberFormat="1" applyAlignment="1" applyProtection="1">
      <alignment/>
      <protection/>
    </xf>
    <xf numFmtId="0" fontId="47" fillId="0" borderId="0" xfId="0" applyFont="1" applyAlignment="1" applyProtection="1">
      <alignment/>
      <protection/>
    </xf>
    <xf numFmtId="2" fontId="0" fillId="0" borderId="0" xfId="0" applyNumberFormat="1" applyFill="1" applyAlignment="1" applyProtection="1">
      <alignment horizontal="left" wrapText="1"/>
      <protection/>
    </xf>
    <xf numFmtId="0" fontId="0" fillId="0" borderId="0" xfId="0" applyFill="1" applyAlignment="1" applyProtection="1">
      <alignment horizontal="left" wrapText="1"/>
      <protection/>
    </xf>
    <xf numFmtId="0" fontId="0" fillId="0" borderId="0" xfId="0" applyAlignment="1" applyProtection="1">
      <alignment wrapText="1"/>
      <protection/>
    </xf>
    <xf numFmtId="173" fontId="0" fillId="0" borderId="0" xfId="0" applyNumberFormat="1" applyAlignment="1" applyProtection="1">
      <alignment/>
      <protection/>
    </xf>
    <xf numFmtId="165" fontId="0" fillId="0" borderId="0" xfId="0" applyNumberFormat="1" applyFill="1" applyAlignment="1" applyProtection="1">
      <alignment/>
      <protection/>
    </xf>
    <xf numFmtId="0" fontId="0" fillId="0" borderId="0" xfId="0" applyFill="1" applyAlignment="1" applyProtection="1">
      <alignment/>
      <protection/>
    </xf>
    <xf numFmtId="2" fontId="0" fillId="0" borderId="0" xfId="0" applyNumberFormat="1" applyFill="1" applyAlignment="1" applyProtection="1">
      <alignment/>
      <protection/>
    </xf>
    <xf numFmtId="164" fontId="0" fillId="0" borderId="0" xfId="0" applyNumberFormat="1" applyFill="1" applyAlignment="1" applyProtection="1">
      <alignment/>
      <protection/>
    </xf>
    <xf numFmtId="2" fontId="0" fillId="0" borderId="0" xfId="0" applyNumberFormat="1" applyFont="1" applyFill="1" applyAlignment="1" applyProtection="1">
      <alignment/>
      <protection/>
    </xf>
    <xf numFmtId="164" fontId="0" fillId="35" borderId="10" xfId="0" applyNumberFormat="1" applyFill="1" applyBorder="1" applyAlignment="1" applyProtection="1">
      <alignment/>
      <protection/>
    </xf>
    <xf numFmtId="0" fontId="0" fillId="0" borderId="0" xfId="0" applyFont="1" applyAlignment="1" applyProtection="1">
      <alignment horizontal="left" wrapText="1"/>
      <protection/>
    </xf>
    <xf numFmtId="165" fontId="0" fillId="0" borderId="0" xfId="0" applyNumberFormat="1" applyAlignment="1" applyProtection="1">
      <alignment/>
      <protection/>
    </xf>
    <xf numFmtId="0" fontId="0" fillId="0" borderId="0" xfId="0" applyFont="1" applyAlignment="1" applyProtection="1">
      <alignment wrapText="1"/>
      <protection/>
    </xf>
    <xf numFmtId="0" fontId="2" fillId="0" borderId="0" xfId="56" applyFont="1" applyAlignment="1" applyProtection="1">
      <alignment/>
      <protection/>
    </xf>
    <xf numFmtId="2" fontId="0" fillId="0" borderId="0" xfId="0" applyNumberFormat="1" applyFont="1" applyFill="1" applyAlignment="1" applyProtection="1">
      <alignment/>
      <protection/>
    </xf>
    <xf numFmtId="164" fontId="0" fillId="0" borderId="0" xfId="0" applyNumberFormat="1" applyFont="1" applyFill="1" applyAlignment="1" applyProtection="1">
      <alignment/>
      <protection/>
    </xf>
    <xf numFmtId="0" fontId="5" fillId="0" borderId="0" xfId="0" applyFont="1" applyAlignment="1" applyProtection="1">
      <alignment/>
      <protection/>
    </xf>
    <xf numFmtId="0" fontId="0" fillId="0" borderId="0" xfId="0" applyFont="1" applyFill="1" applyAlignment="1" applyProtection="1">
      <alignment/>
      <protection/>
    </xf>
    <xf numFmtId="0" fontId="0" fillId="0" borderId="15" xfId="56" applyFont="1" applyBorder="1" applyProtection="1">
      <alignment/>
      <protection/>
    </xf>
    <xf numFmtId="166" fontId="0" fillId="6" borderId="10" xfId="56" applyNumberFormat="1" applyFill="1" applyBorder="1" applyAlignment="1" applyProtection="1">
      <alignment horizontal="right"/>
      <protection/>
    </xf>
    <xf numFmtId="0" fontId="0" fillId="0" borderId="16" xfId="56" applyFont="1" applyBorder="1" applyProtection="1">
      <alignment/>
      <protection/>
    </xf>
    <xf numFmtId="164" fontId="0" fillId="6" borderId="10" xfId="56" applyNumberFormat="1" applyFill="1" applyBorder="1" applyAlignment="1" applyProtection="1">
      <alignment horizontal="right"/>
      <protection/>
    </xf>
    <xf numFmtId="0" fontId="0" fillId="0" borderId="16" xfId="56" applyBorder="1" applyProtection="1">
      <alignment/>
      <protection/>
    </xf>
    <xf numFmtId="2" fontId="0" fillId="6" borderId="10" xfId="56" applyNumberFormat="1" applyFill="1" applyBorder="1" applyAlignment="1" applyProtection="1">
      <alignment horizontal="right"/>
      <protection/>
    </xf>
    <xf numFmtId="0" fontId="0" fillId="0" borderId="17" xfId="56" applyFont="1" applyBorder="1" applyProtection="1">
      <alignment/>
      <protection/>
    </xf>
    <xf numFmtId="0" fontId="0" fillId="33" borderId="10" xfId="0" applyFont="1" applyFill="1" applyBorder="1" applyAlignment="1" applyProtection="1">
      <alignment/>
      <protection locked="0"/>
    </xf>
    <xf numFmtId="0" fontId="0" fillId="0" borderId="0" xfId="0" applyFont="1" applyAlignment="1" applyProtection="1">
      <alignment/>
      <protection/>
    </xf>
    <xf numFmtId="2" fontId="0" fillId="0" borderId="0" xfId="0" applyNumberFormat="1" applyAlignment="1" applyProtection="1">
      <alignment/>
      <protection/>
    </xf>
    <xf numFmtId="2" fontId="0" fillId="35" borderId="10" xfId="0" applyNumberFormat="1" applyFill="1" applyBorder="1" applyAlignment="1" applyProtection="1">
      <alignment/>
      <protection/>
    </xf>
    <xf numFmtId="2" fontId="0" fillId="6" borderId="10" xfId="0" applyNumberFormat="1" applyFont="1" applyFill="1" applyBorder="1" applyAlignment="1" applyProtection="1">
      <alignment/>
      <protection/>
    </xf>
    <xf numFmtId="2" fontId="0" fillId="33" borderId="10" xfId="0" applyNumberFormat="1" applyFont="1" applyFill="1" applyBorder="1" applyAlignment="1" applyProtection="1">
      <alignment/>
      <protection locked="0"/>
    </xf>
    <xf numFmtId="164" fontId="0" fillId="33" borderId="10" xfId="0" applyNumberFormat="1" applyFont="1" applyFill="1" applyBorder="1" applyAlignment="1" applyProtection="1">
      <alignment/>
      <protection locked="0"/>
    </xf>
    <xf numFmtId="164" fontId="0" fillId="33" borderId="10" xfId="0" applyNumberFormat="1" applyFill="1" applyBorder="1" applyAlignment="1" applyProtection="1">
      <alignment/>
      <protection locked="0"/>
    </xf>
    <xf numFmtId="2" fontId="0" fillId="33" borderId="10" xfId="0" applyNumberFormat="1" applyFill="1" applyBorder="1" applyAlignment="1" applyProtection="1">
      <alignment/>
      <protection locked="0"/>
    </xf>
    <xf numFmtId="0" fontId="47" fillId="0" borderId="0" xfId="0" applyFont="1" applyAlignment="1" applyProtection="1">
      <alignment/>
      <protection/>
    </xf>
    <xf numFmtId="0" fontId="47" fillId="0" borderId="0" xfId="0" applyFont="1" applyAlignment="1" applyProtection="1">
      <alignment/>
      <protection/>
    </xf>
    <xf numFmtId="0" fontId="0" fillId="0" borderId="0" xfId="0" applyFont="1" applyAlignment="1" applyProtection="1">
      <alignment horizontal="center"/>
      <protection/>
    </xf>
    <xf numFmtId="0" fontId="0" fillId="0" borderId="0" xfId="0" applyAlignment="1">
      <alignment horizontal="left"/>
    </xf>
    <xf numFmtId="164" fontId="0" fillId="0" borderId="0" xfId="0" applyNumberFormat="1" applyAlignment="1">
      <alignment/>
    </xf>
    <xf numFmtId="164" fontId="2" fillId="0" borderId="0" xfId="0" applyNumberFormat="1" applyFont="1" applyAlignment="1">
      <alignment/>
    </xf>
    <xf numFmtId="164" fontId="0" fillId="0" borderId="0" xfId="0" applyNumberFormat="1" applyFill="1" applyAlignment="1">
      <alignment/>
    </xf>
    <xf numFmtId="0" fontId="0" fillId="0" borderId="0" xfId="0" applyAlignment="1">
      <alignment wrapText="1"/>
    </xf>
    <xf numFmtId="0" fontId="0" fillId="0" borderId="0" xfId="0" applyFill="1" applyAlignment="1">
      <alignment/>
    </xf>
    <xf numFmtId="2" fontId="0" fillId="0" borderId="0" xfId="0" applyNumberFormat="1" applyAlignment="1">
      <alignment/>
    </xf>
    <xf numFmtId="2" fontId="0" fillId="0" borderId="0" xfId="0" applyNumberFormat="1" applyFill="1" applyAlignment="1">
      <alignment/>
    </xf>
    <xf numFmtId="0" fontId="0" fillId="0" borderId="0" xfId="56">
      <alignment/>
      <protection/>
    </xf>
    <xf numFmtId="0" fontId="0" fillId="0" borderId="0" xfId="0" applyFont="1" applyAlignment="1">
      <alignment horizontal="left"/>
    </xf>
    <xf numFmtId="2" fontId="0" fillId="36" borderId="0" xfId="0" applyNumberFormat="1" applyFill="1" applyAlignment="1">
      <alignment/>
    </xf>
    <xf numFmtId="0" fontId="0" fillId="0" borderId="0" xfId="0" applyFill="1" applyAlignment="1">
      <alignment/>
    </xf>
    <xf numFmtId="0" fontId="0" fillId="0" borderId="0" xfId="0" applyAlignment="1">
      <alignment vertical="center" wrapText="1"/>
    </xf>
    <xf numFmtId="0" fontId="0" fillId="0" borderId="0" xfId="0" applyAlignment="1">
      <alignment horizontal="left" vertical="top"/>
    </xf>
    <xf numFmtId="2" fontId="0" fillId="37" borderId="0" xfId="0" applyNumberFormat="1" applyFill="1" applyAlignment="1">
      <alignment/>
    </xf>
    <xf numFmtId="0" fontId="2" fillId="0" borderId="0" xfId="0" applyFont="1" applyAlignment="1">
      <alignment/>
    </xf>
    <xf numFmtId="0" fontId="2" fillId="0" borderId="0" xfId="0" applyFont="1" applyAlignment="1">
      <alignment horizontal="center"/>
    </xf>
    <xf numFmtId="164" fontId="0" fillId="0" borderId="0" xfId="0" applyNumberFormat="1" applyFont="1" applyFill="1" applyBorder="1" applyAlignment="1" applyProtection="1">
      <alignment/>
      <protection locked="0"/>
    </xf>
    <xf numFmtId="0" fontId="0" fillId="0" borderId="0" xfId="0" applyFont="1" applyAlignment="1">
      <alignment wrapText="1"/>
    </xf>
    <xf numFmtId="0" fontId="0" fillId="0" borderId="0" xfId="0" applyFont="1" applyAlignment="1">
      <alignment wrapText="1"/>
    </xf>
    <xf numFmtId="0" fontId="0" fillId="0" borderId="0" xfId="0" applyFont="1" applyAlignment="1">
      <alignment vertical="top" wrapText="1"/>
    </xf>
    <xf numFmtId="0" fontId="0" fillId="33" borderId="10" xfId="0" applyFill="1" applyBorder="1" applyAlignment="1" applyProtection="1">
      <alignment/>
      <protection locked="0"/>
    </xf>
    <xf numFmtId="0" fontId="0" fillId="0" borderId="10" xfId="0" applyFill="1" applyBorder="1" applyAlignment="1" applyProtection="1">
      <alignment/>
      <protection locked="0"/>
    </xf>
    <xf numFmtId="0" fontId="0" fillId="0" borderId="0" xfId="0" applyFont="1" applyAlignment="1">
      <alignment horizontal="left" vertical="top" wrapText="1"/>
    </xf>
    <xf numFmtId="0" fontId="0" fillId="0" borderId="0" xfId="0" applyAlignment="1">
      <alignment horizontal="left" vertical="top" wrapText="1"/>
    </xf>
    <xf numFmtId="0" fontId="2" fillId="0" borderId="18" xfId="56" applyFont="1" applyBorder="1" applyAlignment="1" applyProtection="1">
      <alignment horizontal="right"/>
      <protection/>
    </xf>
    <xf numFmtId="0" fontId="2" fillId="0" borderId="10" xfId="56" applyFont="1" applyBorder="1" applyAlignment="1" applyProtection="1">
      <alignment horizontal="right"/>
      <protection/>
    </xf>
    <xf numFmtId="0" fontId="0" fillId="33" borderId="19" xfId="0" applyFont="1"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0" borderId="0" xfId="0" applyFont="1" applyFill="1" applyAlignment="1" applyProtection="1">
      <alignment horizontal="left" wrapText="1"/>
      <protection/>
    </xf>
    <xf numFmtId="0" fontId="0" fillId="0" borderId="0" xfId="0" applyFill="1" applyAlignment="1" applyProtection="1">
      <alignment horizontal="left" wrapText="1"/>
      <protection/>
    </xf>
    <xf numFmtId="0" fontId="2" fillId="0" borderId="0" xfId="0" applyFont="1" applyAlignment="1" applyProtection="1">
      <alignment wrapText="1"/>
      <protection/>
    </xf>
    <xf numFmtId="0" fontId="0" fillId="0" borderId="0" xfId="0" applyAlignment="1" applyProtection="1">
      <alignment wrapText="1"/>
      <protection/>
    </xf>
    <xf numFmtId="0" fontId="0" fillId="0" borderId="0" xfId="0" applyFont="1" applyAlignment="1" applyProtection="1">
      <alignment horizontal="left" wrapText="1"/>
      <protection/>
    </xf>
    <xf numFmtId="0" fontId="0" fillId="33" borderId="19" xfId="0" applyFill="1" applyBorder="1" applyAlignment="1" applyProtection="1">
      <alignment horizontal="center" wrapText="1"/>
      <protection locked="0"/>
    </xf>
    <xf numFmtId="0" fontId="0" fillId="33" borderId="20" xfId="0" applyFill="1" applyBorder="1" applyAlignment="1" applyProtection="1">
      <alignment horizontal="center" wrapText="1"/>
      <protection locked="0"/>
    </xf>
    <xf numFmtId="0" fontId="0" fillId="33" borderId="21" xfId="0" applyFill="1" applyBorder="1" applyAlignment="1" applyProtection="1">
      <alignment horizontal="center" wrapText="1"/>
      <protection locked="0"/>
    </xf>
    <xf numFmtId="0" fontId="2" fillId="0" borderId="0" xfId="0" applyFont="1" applyAlignment="1">
      <alignment horizontal="left" wrapText="1"/>
    </xf>
    <xf numFmtId="0" fontId="2" fillId="0" borderId="22" xfId="0" applyFont="1" applyBorder="1" applyAlignment="1" applyProtection="1">
      <alignment horizontal="right"/>
      <protection/>
    </xf>
    <xf numFmtId="0" fontId="2" fillId="0" borderId="20" xfId="0" applyFont="1" applyBorder="1" applyAlignment="1" applyProtection="1">
      <alignment horizontal="right"/>
      <protection/>
    </xf>
    <xf numFmtId="0" fontId="2" fillId="0" borderId="21" xfId="0" applyFont="1" applyBorder="1" applyAlignment="1" applyProtection="1">
      <alignment horizontal="right"/>
      <protection/>
    </xf>
    <xf numFmtId="0" fontId="8" fillId="0" borderId="18" xfId="56" applyFont="1" applyBorder="1" applyAlignment="1" applyProtection="1">
      <alignment horizontal="right"/>
      <protection/>
    </xf>
    <xf numFmtId="0" fontId="8" fillId="0" borderId="10" xfId="56" applyFont="1" applyBorder="1" applyAlignment="1" applyProtection="1">
      <alignment horizontal="right"/>
      <protection/>
    </xf>
    <xf numFmtId="0" fontId="2" fillId="0" borderId="23" xfId="56" applyFont="1" applyBorder="1" applyAlignment="1" applyProtection="1">
      <alignment horizontal="right"/>
      <protection/>
    </xf>
    <xf numFmtId="0" fontId="2" fillId="0" borderId="13" xfId="56" applyFont="1" applyBorder="1" applyAlignment="1" applyProtection="1">
      <alignment horizontal="right"/>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0" fillId="0" borderId="0" xfId="0" applyAlignment="1" applyProtection="1">
      <alignment horizontal="left" wrapText="1"/>
      <protection/>
    </xf>
    <xf numFmtId="0" fontId="2" fillId="0" borderId="24" xfId="56" applyFont="1" applyBorder="1" applyAlignment="1" applyProtection="1">
      <alignment horizontal="center"/>
      <protection/>
    </xf>
    <xf numFmtId="0" fontId="2" fillId="0" borderId="25" xfId="56" applyFont="1" applyBorder="1" applyAlignment="1" applyProtection="1">
      <alignment horizontal="center"/>
      <protection/>
    </xf>
    <xf numFmtId="0" fontId="2" fillId="0" borderId="26" xfId="56" applyFont="1" applyBorder="1" applyAlignment="1" applyProtection="1">
      <alignment horizontal="center"/>
      <protection/>
    </xf>
    <xf numFmtId="0" fontId="2" fillId="0" borderId="27" xfId="56" applyFont="1" applyBorder="1" applyAlignment="1" applyProtection="1">
      <alignment horizontal="right"/>
      <protection/>
    </xf>
    <xf numFmtId="0" fontId="2" fillId="0" borderId="12" xfId="56" applyFont="1" applyBorder="1" applyAlignment="1" applyProtection="1">
      <alignment horizontal="right"/>
      <protection/>
    </xf>
    <xf numFmtId="0" fontId="0" fillId="0" borderId="0" xfId="0" applyAlignment="1">
      <alignment horizontal="left" wrapText="1"/>
    </xf>
    <xf numFmtId="0" fontId="0" fillId="38" borderId="0" xfId="0" applyFill="1" applyAlignment="1">
      <alignment horizontal="left"/>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7.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7.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7.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7.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7.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7.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7.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wmtvrfile01\nwcae412334\XL4050\Design\Hydraulics\BMP%20Design\Bioswa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ntinious%20Inflow%20Bioswale_2014HRM_V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ntinious%20Inflow%20Bioswale_2014HRM_V7aa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ulations"/>
      <sheetName val="Tables"/>
    </sheetNames>
    <sheetDataSet>
      <sheetData sheetId="1">
        <row r="2">
          <cell r="D2" t="str">
            <v>online</v>
          </cell>
        </row>
        <row r="3">
          <cell r="A3" t="str">
            <v>Grass-legume mix on compacted native soil</v>
          </cell>
          <cell r="D3" t="str">
            <v>offline</v>
          </cell>
        </row>
        <row r="4">
          <cell r="A4" t="str">
            <v>Grass-legume mix on lightly compacted, compost-amended soil</v>
          </cell>
        </row>
        <row r="5">
          <cell r="A5" t="str">
            <v>Grass-legume mix on lightly compacted, compost-amended soil with surface roughness features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Calculations"/>
      <sheetName val="Area 1"/>
      <sheetName val="Area 2"/>
      <sheetName val="Area 3"/>
      <sheetName val="Area 4"/>
      <sheetName val="Area 5"/>
      <sheetName val="Area 6"/>
      <sheetName val="Area 7"/>
      <sheetName val="Area 8"/>
      <sheetName val="Tables"/>
    </sheetNames>
    <sheetDataSet>
      <sheetData sheetId="10">
        <row r="3">
          <cell r="A3" t="str">
            <v>Grass-legume mix on compacted native soil</v>
          </cell>
        </row>
        <row r="4">
          <cell r="A4" t="str">
            <v>Grass-legume mix on lightly compacted topsoil</v>
          </cell>
        </row>
        <row r="5">
          <cell r="A5" t="str">
            <v>Grass-legume mix on lightly compacted topsoil with 3-inch medium compost blanket (CABS)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Calculations"/>
      <sheetName val="Area 1"/>
      <sheetName val="Area 2"/>
      <sheetName val="Area 3"/>
      <sheetName val="Area 4"/>
      <sheetName val="Area 5"/>
      <sheetName val="Area 6"/>
      <sheetName val="Area 7"/>
      <sheetName val="Area 8"/>
      <sheetName val="Tables"/>
    </sheetNames>
    <sheetDataSet>
      <sheetData sheetId="10">
        <row r="3">
          <cell r="A3" t="str">
            <v>Grass-legume mix on compacted native soil</v>
          </cell>
        </row>
        <row r="4">
          <cell r="A4" t="str">
            <v>Grass-legume mix on lightly compacted topsoil</v>
          </cell>
        </row>
        <row r="5">
          <cell r="A5" t="str">
            <v>Grass-legume mix on lightly compacted topsoil with 3-inch medium compost blanket (CABS)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oleObject" Target="../embeddings/oleObject_9_1.bin" /><Relationship Id="rId3" Type="http://schemas.openxmlformats.org/officeDocument/2006/relationships/oleObject" Target="../embeddings/oleObject_9_2.bin" /><Relationship Id="rId4" Type="http://schemas.openxmlformats.org/officeDocument/2006/relationships/vmlDrawing" Target="../drawings/vmlDrawing9.v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vmlDrawing" Target="../drawings/vmlDrawing3.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vmlDrawing" Target="../drawings/vmlDrawing4.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vmlDrawing" Target="../drawings/vmlDrawing5.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vmlDrawing" Target="../drawings/vmlDrawing6.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vmlDrawing" Target="../drawings/vmlDrawing7.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oleObject" Target="../embeddings/oleObject_8_1.bin" /><Relationship Id="rId3" Type="http://schemas.openxmlformats.org/officeDocument/2006/relationships/oleObject" Target="../embeddings/oleObject_8_2.bin" /><Relationship Id="rId4" Type="http://schemas.openxmlformats.org/officeDocument/2006/relationships/vmlDrawing" Target="../drawings/vmlDrawing8.v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7"/>
  <sheetViews>
    <sheetView tabSelected="1" zoomScalePageLayoutView="0" workbookViewId="0" topLeftCell="A1">
      <selection activeCell="A18" sqref="A18"/>
    </sheetView>
  </sheetViews>
  <sheetFormatPr defaultColWidth="9.140625" defaultRowHeight="12.75"/>
  <sheetData>
    <row r="1" ht="12.75">
      <c r="A1" s="1" t="s">
        <v>96</v>
      </c>
    </row>
    <row r="2" spans="1:8" ht="12.75">
      <c r="A2" s="109" t="s">
        <v>204</v>
      </c>
      <c r="B2" s="109"/>
      <c r="C2" s="109"/>
      <c r="D2" s="109"/>
      <c r="E2" s="109"/>
      <c r="F2" s="109"/>
      <c r="G2" s="109"/>
      <c r="H2" s="109"/>
    </row>
    <row r="3" spans="1:8" ht="12.75">
      <c r="A3" s="109"/>
      <c r="B3" s="109"/>
      <c r="C3" s="109"/>
      <c r="D3" s="109"/>
      <c r="E3" s="109"/>
      <c r="F3" s="109"/>
      <c r="G3" s="109"/>
      <c r="H3" s="109"/>
    </row>
    <row r="4" spans="1:8" ht="12.75">
      <c r="A4" s="109"/>
      <c r="B4" s="109"/>
      <c r="C4" s="109"/>
      <c r="D4" s="109"/>
      <c r="E4" s="109"/>
      <c r="F4" s="109"/>
      <c r="G4" s="109"/>
      <c r="H4" s="109"/>
    </row>
    <row r="5" spans="1:8" ht="12.75">
      <c r="A5" s="109"/>
      <c r="B5" s="109"/>
      <c r="C5" s="109"/>
      <c r="D5" s="109"/>
      <c r="E5" s="109"/>
      <c r="F5" s="109"/>
      <c r="G5" s="109"/>
      <c r="H5" s="109"/>
    </row>
    <row r="6" spans="1:8" ht="12.75">
      <c r="A6" s="109"/>
      <c r="B6" s="109"/>
      <c r="C6" s="109"/>
      <c r="D6" s="109"/>
      <c r="E6" s="109"/>
      <c r="F6" s="109"/>
      <c r="G6" s="109"/>
      <c r="H6" s="109"/>
    </row>
    <row r="8" spans="1:8" ht="12.75">
      <c r="A8" s="11" t="s">
        <v>97</v>
      </c>
      <c r="B8" s="10"/>
      <c r="C8" s="10"/>
      <c r="D8" s="10"/>
      <c r="E8" s="10"/>
      <c r="F8" s="10"/>
      <c r="G8" s="10"/>
      <c r="H8" s="10"/>
    </row>
    <row r="10" spans="1:8" ht="12.75" customHeight="1">
      <c r="A10" s="110" t="s">
        <v>203</v>
      </c>
      <c r="B10" s="110"/>
      <c r="C10" s="110"/>
      <c r="D10" s="110"/>
      <c r="E10" s="110"/>
      <c r="F10" s="110"/>
      <c r="G10" s="110"/>
      <c r="H10" s="110"/>
    </row>
    <row r="11" spans="1:8" ht="12.75">
      <c r="A11" s="110"/>
      <c r="B11" s="110"/>
      <c r="C11" s="110"/>
      <c r="D11" s="110"/>
      <c r="E11" s="110"/>
      <c r="F11" s="110"/>
      <c r="G11" s="110"/>
      <c r="H11" s="110"/>
    </row>
    <row r="12" spans="1:8" ht="12.75">
      <c r="A12" s="110"/>
      <c r="B12" s="110"/>
      <c r="C12" s="110"/>
      <c r="D12" s="110"/>
      <c r="E12" s="110"/>
      <c r="F12" s="110"/>
      <c r="G12" s="110"/>
      <c r="H12" s="110"/>
    </row>
    <row r="13" spans="1:8" ht="12.75">
      <c r="A13" s="110"/>
      <c r="B13" s="110"/>
      <c r="C13" s="110"/>
      <c r="D13" s="110"/>
      <c r="E13" s="110"/>
      <c r="F13" s="110"/>
      <c r="G13" s="110"/>
      <c r="H13" s="110"/>
    </row>
    <row r="14" spans="1:8" ht="12.75">
      <c r="A14" s="110"/>
      <c r="B14" s="110"/>
      <c r="C14" s="110"/>
      <c r="D14" s="110"/>
      <c r="E14" s="110"/>
      <c r="F14" s="110"/>
      <c r="G14" s="110"/>
      <c r="H14" s="110"/>
    </row>
    <row r="15" spans="1:8" ht="12.75">
      <c r="A15" s="110"/>
      <c r="B15" s="110"/>
      <c r="C15" s="110"/>
      <c r="D15" s="110"/>
      <c r="E15" s="110"/>
      <c r="F15" s="110"/>
      <c r="G15" s="110"/>
      <c r="H15" s="110"/>
    </row>
    <row r="16" spans="1:8" ht="12.75">
      <c r="A16" s="110"/>
      <c r="B16" s="110"/>
      <c r="C16" s="110"/>
      <c r="D16" s="110"/>
      <c r="E16" s="110"/>
      <c r="F16" s="110"/>
      <c r="G16" s="110"/>
      <c r="H16" s="110"/>
    </row>
    <row r="17" spans="1:8" ht="12.75">
      <c r="A17" s="110"/>
      <c r="B17" s="110"/>
      <c r="C17" s="110"/>
      <c r="D17" s="110"/>
      <c r="E17" s="110"/>
      <c r="F17" s="110"/>
      <c r="G17" s="110"/>
      <c r="H17" s="110"/>
    </row>
  </sheetData>
  <sheetProtection/>
  <mergeCells count="2">
    <mergeCell ref="A2:H6"/>
    <mergeCell ref="A10:H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46"/>
  <sheetViews>
    <sheetView zoomScalePageLayoutView="0" workbookViewId="0" topLeftCell="A1">
      <selection activeCell="G25" sqref="G25"/>
    </sheetView>
  </sheetViews>
  <sheetFormatPr defaultColWidth="9.140625" defaultRowHeight="12.75"/>
  <sheetData>
    <row r="1" spans="1:2" ht="15">
      <c r="A1" s="1" t="s">
        <v>179</v>
      </c>
      <c r="B1" s="87"/>
    </row>
    <row r="2" ht="12.75">
      <c r="B2" s="87"/>
    </row>
    <row r="3" spans="1:3" ht="15">
      <c r="A3" t="s">
        <v>180</v>
      </c>
      <c r="B3" s="93">
        <f>ContinuousInflowBioswale_Tmpt!C133</f>
        <v>0</v>
      </c>
      <c r="C3" t="str">
        <f>IF(ContinuousInflowBioswale_Tmpt!E15="YES","Qwq from SBUH","Qwq determined from MGSFlood as per HRM")</f>
        <v>Qwq determined from MGSFlood as per HRM</v>
      </c>
    </row>
    <row r="4" spans="1:3" ht="12.75">
      <c r="A4">
        <f>IF(OR(ContinuousInflowBioswale_Tmpt!E15="YES",ContinuousInflowBioswale_Tmpt!E15=""),"","k**")</f>
      </c>
      <c r="B4" s="92">
        <f>IF(OR(ContinuousInflowBioswale_Tmpt!E15="YES",ContinuousInflowBioswale_Tmpt!E15=""),"",IF(ContinuousInflowBioswale_Tmpt!D17="2-year 24 hr precip depth (in)",(1.41*ContinuousInflowBioswale_Tmpt!C17*0.72)-0.052,(1.41*ContinuousInflowBioswale_Tmpt!C17)-0.052))</f>
      </c>
      <c r="C4">
        <f>IF(OR(ContinuousInflowBioswale_Tmpt!E15="YES",ContinuousInflowBioswale_Tmpt!E15=""),"",IF(ContinuousInflowBioswale_Tmpt!D17="2-yr 24 hr precip depth (in)","k=1.41(P72%, 2-yr)-0.052","k=1"))</f>
      </c>
    </row>
    <row r="5" spans="1:3" ht="15">
      <c r="A5" t="s">
        <v>144</v>
      </c>
      <c r="B5" s="92">
        <f>IF(OR(ContinuousInflowBioswale_Tmpt!E15="YES",ContinuousInflowBioswale_Tmpt!E15=""),B3,B4*B3)</f>
        <v>0</v>
      </c>
      <c r="C5" t="s">
        <v>181</v>
      </c>
    </row>
    <row r="6" ht="12.75">
      <c r="B6" s="87"/>
    </row>
    <row r="7" spans="1:9" ht="12.75" customHeight="1">
      <c r="A7" s="140"/>
      <c r="B7" s="140"/>
      <c r="C7" s="140"/>
      <c r="D7" s="140"/>
      <c r="E7" s="140"/>
      <c r="F7" s="140"/>
      <c r="G7" s="140"/>
      <c r="H7" s="140"/>
      <c r="I7" s="140"/>
    </row>
    <row r="8" spans="1:9" ht="12.75">
      <c r="A8" s="140"/>
      <c r="B8" s="140"/>
      <c r="C8" s="140"/>
      <c r="D8" s="140"/>
      <c r="E8" s="140"/>
      <c r="F8" s="140"/>
      <c r="G8" s="140"/>
      <c r="H8" s="140"/>
      <c r="I8" s="140"/>
    </row>
    <row r="9" ht="12.75">
      <c r="B9" s="87"/>
    </row>
    <row r="10" spans="1:2" ht="15">
      <c r="A10" s="1" t="s">
        <v>182</v>
      </c>
      <c r="B10" s="87"/>
    </row>
    <row r="11" spans="1:2" ht="12.75">
      <c r="A11" t="s">
        <v>201</v>
      </c>
      <c r="B11" s="87"/>
    </row>
    <row r="12" ht="12.75">
      <c r="B12" s="87"/>
    </row>
    <row r="13" ht="12.75">
      <c r="B13" s="87"/>
    </row>
    <row r="14" ht="12.75">
      <c r="B14" s="87"/>
    </row>
    <row r="15" ht="12.75">
      <c r="B15" s="87"/>
    </row>
    <row r="16" ht="12.75">
      <c r="B16" s="87"/>
    </row>
    <row r="17" spans="1:3" ht="15">
      <c r="A17" t="s">
        <v>144</v>
      </c>
      <c r="B17" s="87">
        <f>B5</f>
        <v>0</v>
      </c>
      <c r="C17" t="s">
        <v>181</v>
      </c>
    </row>
    <row r="18" spans="1:9" ht="12.75">
      <c r="A18" t="s">
        <v>8</v>
      </c>
      <c r="B18" s="81">
        <v>0.35</v>
      </c>
      <c r="C18" s="141" t="s">
        <v>183</v>
      </c>
      <c r="D18" s="141"/>
      <c r="E18" s="141"/>
      <c r="F18" s="141"/>
      <c r="G18" s="141"/>
      <c r="H18" s="141"/>
      <c r="I18" s="141"/>
    </row>
    <row r="19" spans="1:9" ht="12.75">
      <c r="A19" t="s">
        <v>2</v>
      </c>
      <c r="B19" s="89">
        <f>ContinuousInflowBioswale_Tmpt!C102</f>
        <v>0</v>
      </c>
      <c r="C19" s="140" t="s">
        <v>184</v>
      </c>
      <c r="D19" s="140"/>
      <c r="E19" s="140"/>
      <c r="F19" s="140"/>
      <c r="G19" s="140"/>
      <c r="H19" s="140"/>
      <c r="I19" s="140"/>
    </row>
    <row r="20" spans="2:9" ht="12.75">
      <c r="B20" s="89"/>
      <c r="C20" s="140"/>
      <c r="D20" s="140"/>
      <c r="E20" s="140"/>
      <c r="F20" s="140"/>
      <c r="G20" s="140"/>
      <c r="H20" s="140"/>
      <c r="I20" s="140"/>
    </row>
    <row r="21" spans="1:3" ht="15">
      <c r="A21" t="s">
        <v>116</v>
      </c>
      <c r="B21" s="89">
        <f>ContinuousInflowBioswale_Tmpt!C134</f>
        <v>0</v>
      </c>
      <c r="C21" t="s">
        <v>117</v>
      </c>
    </row>
    <row r="22" spans="1:3" ht="15">
      <c r="A22" s="2" t="s">
        <v>185</v>
      </c>
      <c r="B22" s="89" t="e">
        <f>1/ContinuousInflowBioswale_Tmpt!D95</f>
        <v>#DIV/0!</v>
      </c>
      <c r="C22" t="s">
        <v>199</v>
      </c>
    </row>
    <row r="23" ht="12.75">
      <c r="B23" s="87"/>
    </row>
    <row r="24" spans="1:2" ht="12.75">
      <c r="A24" t="s">
        <v>200</v>
      </c>
      <c r="B24" s="87"/>
    </row>
    <row r="25" ht="12.75">
      <c r="B25" s="87"/>
    </row>
    <row r="26" ht="12.75">
      <c r="B26" s="87"/>
    </row>
    <row r="27" ht="12.75">
      <c r="B27" s="87"/>
    </row>
    <row r="28" ht="12.75">
      <c r="B28" s="87"/>
    </row>
    <row r="29" ht="12.75">
      <c r="B29" s="87"/>
    </row>
    <row r="30" ht="12.75">
      <c r="B30" s="87"/>
    </row>
    <row r="31" ht="12.75">
      <c r="B31" s="87"/>
    </row>
    <row r="32" spans="1:3" ht="15">
      <c r="A32" t="s">
        <v>186</v>
      </c>
      <c r="B32" s="87" t="e">
        <f>((B18*B17)/(1.49*B21*(B22^0.5)))^(3/5)</f>
        <v>#DIV/0!</v>
      </c>
      <c r="C32" t="s">
        <v>187</v>
      </c>
    </row>
    <row r="33" ht="12.75">
      <c r="B33" s="87"/>
    </row>
    <row r="34" spans="1:2" ht="12.75">
      <c r="A34" s="1" t="s">
        <v>188</v>
      </c>
      <c r="B34" s="87"/>
    </row>
    <row r="35" ht="12.75">
      <c r="B35" s="88" t="s">
        <v>189</v>
      </c>
    </row>
    <row r="36" ht="12.75">
      <c r="B36" s="87"/>
    </row>
    <row r="37" ht="12.75">
      <c r="B37" s="87"/>
    </row>
    <row r="38" ht="12.75">
      <c r="B38" s="87"/>
    </row>
    <row r="39" ht="12.75">
      <c r="B39" s="87"/>
    </row>
    <row r="40" spans="1:3" ht="15">
      <c r="A40" t="s">
        <v>144</v>
      </c>
      <c r="B40" s="87">
        <f>B17</f>
        <v>0</v>
      </c>
      <c r="C40" t="s">
        <v>181</v>
      </c>
    </row>
    <row r="41" spans="1:3" ht="15">
      <c r="A41" t="s">
        <v>116</v>
      </c>
      <c r="B41" s="87">
        <f>B21</f>
        <v>0</v>
      </c>
      <c r="C41" t="s">
        <v>117</v>
      </c>
    </row>
    <row r="42" spans="1:3" ht="15">
      <c r="A42" t="s">
        <v>186</v>
      </c>
      <c r="B42" s="87" t="e">
        <f>B32</f>
        <v>#DIV/0!</v>
      </c>
      <c r="C42" t="s">
        <v>187</v>
      </c>
    </row>
    <row r="43" spans="1:3" ht="15">
      <c r="A43" t="s">
        <v>190</v>
      </c>
      <c r="B43" s="87" t="e">
        <f>B40/(B41*B42)</f>
        <v>#DIV/0!</v>
      </c>
      <c r="C43" t="s">
        <v>191</v>
      </c>
    </row>
    <row r="45" ht="15">
      <c r="A45" s="1" t="s">
        <v>192</v>
      </c>
    </row>
    <row r="46" spans="1:3" ht="15">
      <c r="A46" t="s">
        <v>145</v>
      </c>
      <c r="B46" t="e">
        <f>B41/B43</f>
        <v>#DIV/0!</v>
      </c>
      <c r="C46" t="s">
        <v>193</v>
      </c>
    </row>
  </sheetData>
  <sheetProtection password="8E70" sheet="1"/>
  <mergeCells count="3">
    <mergeCell ref="A7:I8"/>
    <mergeCell ref="C18:I18"/>
    <mergeCell ref="C19:I20"/>
  </mergeCells>
  <dataValidations count="1">
    <dataValidation type="list" allowBlank="1" showInputMessage="1" showErrorMessage="1" sqref="B18">
      <formula1>"0.2,0.35,0.40,0.55"</formula1>
    </dataValidation>
  </dataValidations>
  <printOptions horizontalCentered="1" verticalCentered="1"/>
  <pageMargins left="0.75" right="0.75" top="0.75" bottom="0.75" header="0.5" footer="0.5"/>
  <pageSetup horizontalDpi="600" verticalDpi="600" orientation="portrait" r:id="rId5"/>
  <headerFooter alignWithMargins="0">
    <oddFooter>&amp;L&amp;F&amp;R&amp;D  &amp;T  Version 2.1</oddFooter>
  </headerFooter>
  <legacyDrawing r:id="rId4"/>
  <oleObjects>
    <oleObject progId="Equation.3" shapeId="3145340" r:id="rId1"/>
    <oleObject progId="Equation.3" shapeId="3145341" r:id="rId2"/>
    <oleObject progId="Equation.3" shapeId="3145342" r:id="rId3"/>
  </oleObjects>
</worksheet>
</file>

<file path=xl/worksheets/sheet11.xml><?xml version="1.0" encoding="utf-8"?>
<worksheet xmlns="http://schemas.openxmlformats.org/spreadsheetml/2006/main" xmlns:r="http://schemas.openxmlformats.org/officeDocument/2006/relationships">
  <dimension ref="A1:D8"/>
  <sheetViews>
    <sheetView zoomScalePageLayoutView="0" workbookViewId="0" topLeftCell="A1">
      <selection activeCell="A2" sqref="A2"/>
    </sheetView>
  </sheetViews>
  <sheetFormatPr defaultColWidth="9.140625" defaultRowHeight="12.75"/>
  <cols>
    <col min="1" max="1" width="58.00390625" style="0" customWidth="1"/>
    <col min="2" max="2" width="21.140625" style="3" customWidth="1"/>
  </cols>
  <sheetData>
    <row r="1" spans="1:3" ht="12.75">
      <c r="A1" s="142" t="s">
        <v>99</v>
      </c>
      <c r="B1" s="142"/>
      <c r="C1" s="142"/>
    </row>
    <row r="2" spans="1:4" ht="12.75">
      <c r="A2" s="4" t="s">
        <v>6</v>
      </c>
      <c r="B2" s="5" t="s">
        <v>7</v>
      </c>
      <c r="D2" t="s">
        <v>9</v>
      </c>
    </row>
    <row r="3" spans="1:4" ht="12.75">
      <c r="A3" s="6" t="s">
        <v>5</v>
      </c>
      <c r="B3" s="7">
        <v>0.2</v>
      </c>
      <c r="D3" t="s">
        <v>10</v>
      </c>
    </row>
    <row r="4" spans="1:2" ht="12.75">
      <c r="A4" s="8" t="s">
        <v>35</v>
      </c>
      <c r="B4" s="7">
        <v>0.22</v>
      </c>
    </row>
    <row r="5" spans="1:2" ht="26.25">
      <c r="A5" s="9" t="s">
        <v>84</v>
      </c>
      <c r="B5" s="7">
        <v>0.35</v>
      </c>
    </row>
    <row r="6" ht="14.25">
      <c r="A6" s="12" t="s">
        <v>100</v>
      </c>
    </row>
    <row r="7" ht="12.75">
      <c r="A7" s="2" t="s">
        <v>85</v>
      </c>
    </row>
    <row r="8" ht="12.75">
      <c r="A8" t="s">
        <v>86</v>
      </c>
    </row>
  </sheetData>
  <sheetProtection password="CFBF" sheet="1"/>
  <mergeCells count="1">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205"/>
  <sheetViews>
    <sheetView zoomScale="85" zoomScaleNormal="85" zoomScalePageLayoutView="0" workbookViewId="0" topLeftCell="A1">
      <selection activeCell="A1" sqref="A1"/>
    </sheetView>
  </sheetViews>
  <sheetFormatPr defaultColWidth="9.140625" defaultRowHeight="12.75"/>
  <cols>
    <col min="1" max="1" width="7.57421875" style="33" customWidth="1"/>
    <col min="2" max="2" width="12.421875" style="36" customWidth="1"/>
    <col min="3" max="3" width="19.7109375" style="36" customWidth="1"/>
    <col min="4" max="9" width="8.8515625" style="36" customWidth="1"/>
    <col min="10" max="10" width="18.140625" style="36" bestFit="1" customWidth="1"/>
    <col min="11" max="13" width="8.8515625" style="36" customWidth="1"/>
    <col min="14" max="14" width="13.8515625" style="36" customWidth="1"/>
    <col min="15" max="16384" width="8.8515625" style="36" customWidth="1"/>
  </cols>
  <sheetData>
    <row r="1" spans="1:13" ht="12.75">
      <c r="A1" s="13"/>
      <c r="B1" s="14" t="s">
        <v>205</v>
      </c>
      <c r="C1" s="15"/>
      <c r="D1" s="16"/>
      <c r="E1" s="16"/>
      <c r="F1" s="16"/>
      <c r="G1" s="16"/>
      <c r="H1" s="16"/>
      <c r="I1" s="16"/>
      <c r="J1" s="16"/>
      <c r="K1" s="16"/>
      <c r="L1" s="16"/>
      <c r="M1" s="16"/>
    </row>
    <row r="2" spans="1:13" ht="12.75">
      <c r="A2" s="17"/>
      <c r="B2" s="18" t="s">
        <v>31</v>
      </c>
      <c r="C2" s="19"/>
      <c r="D2" s="17"/>
      <c r="E2" s="20"/>
      <c r="F2" s="21"/>
      <c r="G2" s="21"/>
      <c r="H2" s="17" t="s">
        <v>32</v>
      </c>
      <c r="I2" s="17"/>
      <c r="J2" s="20"/>
      <c r="K2" s="21"/>
      <c r="L2" s="21"/>
      <c r="M2" s="16"/>
    </row>
    <row r="3" spans="1:13" ht="12.75">
      <c r="A3" s="17"/>
      <c r="B3" s="18" t="s">
        <v>30</v>
      </c>
      <c r="C3" s="19"/>
      <c r="D3" s="17"/>
      <c r="E3" s="21"/>
      <c r="F3" s="21"/>
      <c r="G3" s="21"/>
      <c r="H3" s="17" t="s">
        <v>33</v>
      </c>
      <c r="I3" s="17"/>
      <c r="J3" s="20"/>
      <c r="K3" s="21"/>
      <c r="L3" s="21"/>
      <c r="M3" s="16"/>
    </row>
    <row r="4" spans="1:13" ht="12.75">
      <c r="A4" s="17"/>
      <c r="B4" s="18"/>
      <c r="C4" s="19"/>
      <c r="D4" s="17"/>
      <c r="E4" s="21"/>
      <c r="F4" s="21"/>
      <c r="G4" s="21"/>
      <c r="H4" s="17"/>
      <c r="I4" s="17"/>
      <c r="J4" s="20"/>
      <c r="K4" s="21"/>
      <c r="L4" s="21"/>
      <c r="M4" s="16"/>
    </row>
    <row r="5" spans="1:3" ht="15">
      <c r="A5" s="37"/>
      <c r="B5" s="38" t="s">
        <v>196</v>
      </c>
      <c r="C5" s="37"/>
    </row>
    <row r="6" spans="1:3" ht="15">
      <c r="A6" s="37"/>
      <c r="B6" s="38"/>
      <c r="C6" s="37"/>
    </row>
    <row r="7" ht="12.75">
      <c r="B7" s="33" t="s">
        <v>37</v>
      </c>
    </row>
    <row r="8" spans="1:2" ht="15">
      <c r="A8" s="33" t="s">
        <v>41</v>
      </c>
      <c r="B8" s="33" t="s">
        <v>36</v>
      </c>
    </row>
    <row r="10" spans="2:4" ht="15">
      <c r="B10" s="36" t="s">
        <v>0</v>
      </c>
      <c r="C10" s="22"/>
      <c r="D10" s="94" t="s">
        <v>105</v>
      </c>
    </row>
    <row r="11" ht="12.75">
      <c r="D11" s="94" t="s">
        <v>106</v>
      </c>
    </row>
    <row r="12" ht="12.75">
      <c r="D12" s="94" t="s">
        <v>107</v>
      </c>
    </row>
    <row r="14" spans="1:2" ht="15">
      <c r="A14" s="33" t="s">
        <v>42</v>
      </c>
      <c r="B14" s="33" t="s">
        <v>38</v>
      </c>
    </row>
    <row r="15" spans="2:8" ht="12.75">
      <c r="B15" s="39"/>
      <c r="C15" s="39" t="s">
        <v>202</v>
      </c>
      <c r="E15" s="23"/>
      <c r="F15" s="40" t="str">
        <f>IF(E15="","&lt;------- Choose Yes or No",IF(E15="Yes","Qwq=Qbiofil",""))</f>
        <v>&lt;------- Choose Yes or No</v>
      </c>
      <c r="H15" s="41"/>
    </row>
    <row r="16" spans="2:8" ht="12.75">
      <c r="B16" s="39"/>
      <c r="C16" s="39"/>
      <c r="E16" s="42"/>
      <c r="F16" s="41"/>
      <c r="H16" s="41"/>
    </row>
    <row r="17" spans="2:11" ht="12.75" customHeight="1">
      <c r="B17" s="43">
        <f>IF(E15="","",IF(AND(E15="YES",ISNUMBER(C17)),"Leave Blank---&gt;",IF(AND(E15="YES",C17=""),"",IF(C17="","Enter Precip Value ---&gt;",""))))</f>
      </c>
      <c r="C17" s="24"/>
      <c r="D17" s="113"/>
      <c r="E17" s="114"/>
      <c r="F17" s="114"/>
      <c r="G17" s="115"/>
      <c r="H17" s="44" t="str">
        <f>IF(E15="","Choose YES or NO for box E15 above",IF(AND(E15="YES",D17="N/A"),"",IF(E15="YES","&lt;--Choose N/A",IF(OR(D17="",D17="N/A"),"&lt;--Choose either the 2-yr OR the 6-month precipitation",""))))</f>
        <v>Choose YES or NO for box E15 above</v>
      </c>
      <c r="I17" s="45"/>
      <c r="J17" s="45"/>
      <c r="K17" s="45"/>
    </row>
    <row r="18" spans="2:4" ht="12.75">
      <c r="B18" s="46">
        <f>IF(OR(E15="",E15="YES"),"",IF(D17="2-year 24 hr precip depth (in)","P72%, 2-yr",""))</f>
      </c>
      <c r="C18" s="47">
        <f>IF(OR(E15="",E15="YES"),"",IF(D17="2-year 24 hr precip depth (in)",C17*0.72,""))</f>
      </c>
      <c r="D18" s="41">
        <f>IF(OR(E15="",E15="YES"),"",IF(D17="2-year 24 hr precip depth (in)","  72% of the 2-year 24 hr precip depth (in)",""))</f>
      </c>
    </row>
    <row r="19" spans="2:4" ht="12.75">
      <c r="B19" s="46"/>
      <c r="C19" s="47"/>
      <c r="D19" s="41"/>
    </row>
    <row r="20" spans="2:8" ht="12.75">
      <c r="B20" s="34"/>
      <c r="C20" s="85">
        <f>IF(E15="","","Continuous inflow bioswales are online----&gt;")</f>
      </c>
      <c r="E20" s="108" t="s">
        <v>9</v>
      </c>
      <c r="F20" s="48"/>
      <c r="H20" s="48"/>
    </row>
    <row r="22" spans="2:4" ht="15">
      <c r="B22" s="46" t="s">
        <v>11</v>
      </c>
      <c r="C22" s="35">
        <f>IF(E15="Yes",C10,C10*(IF(AND(E20="online",D17="2-year 24 hr precip depth (in)"),1.41*C18-0.052,IF(AND(E20="online",D17="6-month 24 hr precip depth (in)"),1.41*C17-0.052,(IF(AND(E20="offline",D17="2-year 24 hr precip depth (in)"),2.5*C18-0.052,IF(AND(E20="offline",D17="6-month 24 hr precip depth (in)"),2.52*C17-0.052)))))))</f>
        <v>0</v>
      </c>
      <c r="D22" s="36" t="s">
        <v>1</v>
      </c>
    </row>
    <row r="24" spans="1:2" ht="12.75">
      <c r="A24" s="33" t="s">
        <v>43</v>
      </c>
      <c r="B24" s="33" t="s">
        <v>39</v>
      </c>
    </row>
    <row r="25" spans="2:4" ht="12.75">
      <c r="B25" s="39" t="s">
        <v>3</v>
      </c>
      <c r="C25" s="22"/>
      <c r="D25" s="41" t="s">
        <v>25</v>
      </c>
    </row>
    <row r="26" ht="12.75">
      <c r="C26" s="48">
        <f>IF(C25="","",IF(C25&gt;0.05,"For slopes greater than 5%, install energy dissipaters; see HRM Table 5-4",IF(C25&lt;0.015,"Increase swale longitudinal slope; see HRM Table 5-4","")))</f>
      </c>
    </row>
    <row r="27" spans="1:2" ht="12.75">
      <c r="A27" s="33" t="s">
        <v>44</v>
      </c>
      <c r="B27" s="33" t="s">
        <v>197</v>
      </c>
    </row>
    <row r="28" spans="2:11" ht="12.75" customHeight="1">
      <c r="B28" s="34" t="s">
        <v>4</v>
      </c>
      <c r="C28" s="121"/>
      <c r="D28" s="122"/>
      <c r="E28" s="122"/>
      <c r="F28" s="122"/>
      <c r="G28" s="122"/>
      <c r="H28" s="122"/>
      <c r="I28" s="122"/>
      <c r="J28" s="123"/>
      <c r="K28" s="36" t="s">
        <v>34</v>
      </c>
    </row>
    <row r="29" spans="2:10" ht="12.75">
      <c r="B29" s="39" t="s">
        <v>103</v>
      </c>
      <c r="C29" s="49">
        <f>IF(C28="","",IF(C28=Tables!A3,Tables!B3,IF(C28=Tables!A4,Tables!B4,IF(C28=Tables!A5,Tables!B5,Error))))</f>
      </c>
      <c r="D29" s="116" t="s">
        <v>98</v>
      </c>
      <c r="E29" s="117"/>
      <c r="F29" s="117"/>
      <c r="G29" s="117"/>
      <c r="H29" s="117"/>
      <c r="I29" s="117"/>
      <c r="J29" s="117"/>
    </row>
    <row r="30" spans="3:9" ht="12.75">
      <c r="C30" s="50"/>
      <c r="D30" s="50"/>
      <c r="E30" s="50"/>
      <c r="F30" s="50"/>
      <c r="G30" s="50"/>
      <c r="H30" s="50"/>
      <c r="I30" s="50"/>
    </row>
    <row r="31" spans="1:2" ht="12.75">
      <c r="A31" s="33" t="s">
        <v>45</v>
      </c>
      <c r="B31" s="33" t="s">
        <v>101</v>
      </c>
    </row>
    <row r="33" spans="2:4" ht="12.75">
      <c r="B33" s="46" t="s">
        <v>2</v>
      </c>
      <c r="C33" s="30"/>
      <c r="D33" s="36" t="s">
        <v>90</v>
      </c>
    </row>
    <row r="35" spans="1:2" ht="12.75">
      <c r="A35" s="33" t="s">
        <v>46</v>
      </c>
      <c r="B35" s="33" t="s">
        <v>40</v>
      </c>
    </row>
    <row r="37" spans="1:12" ht="12.75">
      <c r="A37" s="33" t="s">
        <v>47</v>
      </c>
      <c r="B37" s="118" t="s">
        <v>48</v>
      </c>
      <c r="C37" s="119"/>
      <c r="D37" s="119"/>
      <c r="E37" s="119"/>
      <c r="F37" s="119"/>
      <c r="G37" s="119"/>
      <c r="H37" s="119"/>
      <c r="J37" s="52"/>
      <c r="L37" s="47"/>
    </row>
    <row r="38" spans="2:8" ht="12.75">
      <c r="B38" s="119"/>
      <c r="C38" s="119"/>
      <c r="D38" s="119"/>
      <c r="E38" s="119"/>
      <c r="F38" s="119"/>
      <c r="G38" s="119"/>
      <c r="H38" s="119"/>
    </row>
    <row r="39" spans="2:8" ht="12.75">
      <c r="B39" s="51"/>
      <c r="C39" s="51"/>
      <c r="D39" s="51"/>
      <c r="E39" s="51"/>
      <c r="F39" s="51"/>
      <c r="G39" s="51"/>
      <c r="H39" s="51"/>
    </row>
    <row r="40" ht="12.75"/>
    <row r="41" ht="12.75">
      <c r="H41" s="36" t="s">
        <v>18</v>
      </c>
    </row>
    <row r="42" ht="12.75"/>
    <row r="43" ht="12.75"/>
    <row r="44" ht="12.75">
      <c r="C44" s="36" t="s">
        <v>102</v>
      </c>
    </row>
    <row r="45" ht="6" customHeight="1"/>
    <row r="46" ht="6" customHeight="1"/>
    <row r="47" ht="15.75" customHeight="1"/>
    <row r="48" ht="12.75">
      <c r="B48" s="33" t="s">
        <v>95</v>
      </c>
    </row>
    <row r="49" spans="1:16" ht="15">
      <c r="A49" s="33" t="s">
        <v>63</v>
      </c>
      <c r="B49" s="34" t="s">
        <v>52</v>
      </c>
      <c r="C49" s="35">
        <f>C22</f>
        <v>0</v>
      </c>
      <c r="D49" s="34" t="s">
        <v>53</v>
      </c>
      <c r="N49" s="53"/>
      <c r="O49" s="54"/>
      <c r="P49" s="54"/>
    </row>
    <row r="50" spans="2:16" ht="12.75">
      <c r="B50" s="36" t="s">
        <v>12</v>
      </c>
      <c r="C50" s="35">
        <f>0.5*C57*(C54+C54+C55*C57+C56*C57)</f>
        <v>0</v>
      </c>
      <c r="D50" s="34" t="s">
        <v>54</v>
      </c>
      <c r="N50" s="54"/>
      <c r="O50" s="54"/>
      <c r="P50" s="54"/>
    </row>
    <row r="51" spans="2:16" ht="12.75">
      <c r="B51" s="36" t="s">
        <v>13</v>
      </c>
      <c r="C51" s="35" t="e">
        <f>C50/(C54+(C57/(COS(ATAN(C55/1))))+(C57/(COS(ATAN(C56/1)))))</f>
        <v>#DIV/0!</v>
      </c>
      <c r="D51" s="34" t="s">
        <v>55</v>
      </c>
      <c r="N51" s="55"/>
      <c r="O51" s="54"/>
      <c r="P51" s="54"/>
    </row>
    <row r="52" spans="2:16" ht="12.75">
      <c r="B52" s="36" t="s">
        <v>3</v>
      </c>
      <c r="C52" s="35">
        <f>C25</f>
        <v>0</v>
      </c>
      <c r="D52" s="34" t="s">
        <v>56</v>
      </c>
      <c r="N52" s="56"/>
      <c r="O52" s="54"/>
      <c r="P52" s="54"/>
    </row>
    <row r="53" spans="2:16" ht="12.75">
      <c r="B53" s="36" t="s">
        <v>8</v>
      </c>
      <c r="C53" s="47">
        <f>C29</f>
      </c>
      <c r="D53" s="34" t="s">
        <v>14</v>
      </c>
      <c r="N53" s="55"/>
      <c r="O53" s="54"/>
      <c r="P53" s="54"/>
    </row>
    <row r="54" spans="2:16" ht="12.75">
      <c r="B54" s="36" t="s">
        <v>15</v>
      </c>
      <c r="C54" s="25"/>
      <c r="D54" s="34" t="s">
        <v>104</v>
      </c>
      <c r="N54" s="57"/>
      <c r="O54" s="54"/>
      <c r="P54" s="54"/>
    </row>
    <row r="55" spans="2:16" ht="15">
      <c r="B55" s="34" t="s">
        <v>27</v>
      </c>
      <c r="C55" s="26"/>
      <c r="D55" s="36" t="s">
        <v>19</v>
      </c>
      <c r="N55" s="55"/>
      <c r="O55" s="54"/>
      <c r="P55" s="54"/>
    </row>
    <row r="56" spans="2:16" ht="15">
      <c r="B56" s="34" t="s">
        <v>28</v>
      </c>
      <c r="C56" s="26"/>
      <c r="D56" s="36" t="s">
        <v>19</v>
      </c>
      <c r="N56" s="55"/>
      <c r="O56" s="54"/>
      <c r="P56" s="54"/>
    </row>
    <row r="57" spans="2:16" ht="12.75">
      <c r="B57" s="36" t="s">
        <v>2</v>
      </c>
      <c r="C57" s="35">
        <f>C33</f>
        <v>0</v>
      </c>
      <c r="D57" s="34" t="s">
        <v>58</v>
      </c>
      <c r="N57" s="55"/>
      <c r="O57" s="54"/>
      <c r="P57" s="54"/>
    </row>
    <row r="58" spans="3:16" ht="12.75">
      <c r="C58" s="47"/>
      <c r="N58" s="54"/>
      <c r="O58" s="54"/>
      <c r="P58" s="54"/>
    </row>
    <row r="59" spans="2:16" ht="15.75" customHeight="1">
      <c r="B59" s="36" t="s">
        <v>11</v>
      </c>
      <c r="C59" s="58" t="e">
        <f>(1.49*C50*(C51^(2/3))*(C52^0.5))/C53</f>
        <v>#DIV/0!</v>
      </c>
      <c r="D59" s="120" t="s">
        <v>89</v>
      </c>
      <c r="E59" s="120"/>
      <c r="F59" s="120"/>
      <c r="G59" s="120"/>
      <c r="H59" s="120"/>
      <c r="N59" s="53"/>
      <c r="O59" s="54"/>
      <c r="P59" s="54"/>
    </row>
    <row r="60" spans="4:16" ht="12.75">
      <c r="D60" s="120"/>
      <c r="E60" s="120"/>
      <c r="F60" s="120"/>
      <c r="G60" s="120"/>
      <c r="H60" s="120"/>
      <c r="N60" s="54"/>
      <c r="O60" s="54"/>
      <c r="P60" s="54"/>
    </row>
    <row r="61" spans="2:16" ht="12.75">
      <c r="B61" s="33"/>
      <c r="D61" s="120"/>
      <c r="E61" s="120"/>
      <c r="F61" s="120"/>
      <c r="G61" s="120"/>
      <c r="H61" s="120"/>
      <c r="N61" s="54"/>
      <c r="O61" s="54"/>
      <c r="P61" s="54"/>
    </row>
    <row r="62" spans="5:16" ht="12.75" customHeight="1">
      <c r="E62" s="60"/>
      <c r="F62" s="61"/>
      <c r="G62" s="61"/>
      <c r="H62" s="61"/>
      <c r="I62" s="61"/>
      <c r="J62" s="61"/>
      <c r="N62" s="54"/>
      <c r="O62" s="54"/>
      <c r="P62" s="53"/>
    </row>
    <row r="63" spans="2:16" ht="12.75">
      <c r="B63" s="36" t="s">
        <v>91</v>
      </c>
      <c r="E63" s="60"/>
      <c r="F63" s="61"/>
      <c r="G63" s="61"/>
      <c r="H63" s="61"/>
      <c r="I63" s="61"/>
      <c r="J63" s="61"/>
      <c r="N63" s="54"/>
      <c r="O63" s="54"/>
      <c r="P63" s="53"/>
    </row>
    <row r="64" spans="2:16" ht="12.75">
      <c r="B64" s="48" t="str">
        <f>IF(C54&gt;10,"See Note 2 of HRM Table 5-4 for bioswale bottom widths greater than 10 feet",IF(C54&lt;2,"Minimum bioswale bottom width is 2 feet",""))</f>
        <v>Minimum bioswale bottom width is 2 feet</v>
      </c>
      <c r="E64" s="60"/>
      <c r="F64" s="59"/>
      <c r="G64" s="59"/>
      <c r="H64" s="59"/>
      <c r="I64" s="59"/>
      <c r="J64" s="59"/>
      <c r="P64" s="60"/>
    </row>
    <row r="65" spans="5:16" ht="12.75">
      <c r="E65" s="60"/>
      <c r="F65" s="59"/>
      <c r="G65" s="59"/>
      <c r="H65" s="59"/>
      <c r="I65" s="59"/>
      <c r="J65" s="59"/>
      <c r="P65" s="60"/>
    </row>
    <row r="67" spans="1:2" ht="12.75">
      <c r="A67" s="33" t="s">
        <v>62</v>
      </c>
      <c r="B67" s="62" t="s">
        <v>50</v>
      </c>
    </row>
    <row r="68" ht="12.75">
      <c r="B68" s="62" t="s">
        <v>51</v>
      </c>
    </row>
    <row r="69" spans="2:14" ht="15">
      <c r="B69" s="36" t="s">
        <v>11</v>
      </c>
      <c r="C69" s="35">
        <f>C49</f>
        <v>0</v>
      </c>
      <c r="D69" s="34" t="s">
        <v>53</v>
      </c>
      <c r="N69" s="53"/>
    </row>
    <row r="70" spans="2:14" ht="12.75">
      <c r="B70" s="36" t="s">
        <v>12</v>
      </c>
      <c r="C70" s="35">
        <f>0.5*C77*(C74+C74+C75*C77+C76*C77)</f>
        <v>0</v>
      </c>
      <c r="D70" s="34" t="s">
        <v>54</v>
      </c>
      <c r="N70" s="54"/>
    </row>
    <row r="71" spans="2:14" ht="12.75">
      <c r="B71" s="36" t="s">
        <v>13</v>
      </c>
      <c r="C71" s="35" t="e">
        <f>C70/(C74+(C77/(COS(ATAN(C75/1))))+(C77/(COS(ATAN(C76/1)))))</f>
        <v>#DIV/0!</v>
      </c>
      <c r="D71" s="34" t="s">
        <v>55</v>
      </c>
      <c r="N71" s="55"/>
    </row>
    <row r="72" spans="2:14" ht="12.75">
      <c r="B72" s="36" t="s">
        <v>3</v>
      </c>
      <c r="C72" s="35">
        <f>C52</f>
        <v>0</v>
      </c>
      <c r="D72" s="34" t="s">
        <v>56</v>
      </c>
      <c r="N72" s="56"/>
    </row>
    <row r="73" spans="2:14" ht="12.75">
      <c r="B73" s="36" t="s">
        <v>8</v>
      </c>
      <c r="C73" s="47">
        <f>C53</f>
      </c>
      <c r="D73" s="34" t="s">
        <v>14</v>
      </c>
      <c r="N73" s="55"/>
    </row>
    <row r="74" spans="2:14" ht="12.75">
      <c r="B74" s="36" t="s">
        <v>15</v>
      </c>
      <c r="C74" s="27"/>
      <c r="D74" s="34" t="s">
        <v>59</v>
      </c>
      <c r="N74" s="57"/>
    </row>
    <row r="75" spans="2:14" ht="15">
      <c r="B75" s="34" t="s">
        <v>27</v>
      </c>
      <c r="C75" s="55">
        <f>C55</f>
        <v>0</v>
      </c>
      <c r="D75" s="36" t="s">
        <v>19</v>
      </c>
      <c r="N75" s="55"/>
    </row>
    <row r="76" spans="2:14" ht="15">
      <c r="B76" s="34" t="s">
        <v>28</v>
      </c>
      <c r="C76" s="55">
        <f>C56</f>
        <v>0</v>
      </c>
      <c r="D76" s="36" t="s">
        <v>19</v>
      </c>
      <c r="N76" s="55"/>
    </row>
    <row r="77" spans="2:14" ht="12.75">
      <c r="B77" s="36" t="s">
        <v>2</v>
      </c>
      <c r="C77" s="28"/>
      <c r="D77" s="34" t="s">
        <v>57</v>
      </c>
      <c r="N77" s="55"/>
    </row>
    <row r="78" spans="3:14" ht="12.75">
      <c r="C78" s="47"/>
      <c r="N78" s="54"/>
    </row>
    <row r="79" spans="2:14" ht="15.75" customHeight="1">
      <c r="B79" s="36" t="s">
        <v>11</v>
      </c>
      <c r="C79" s="58" t="e">
        <f>(1.49*C70*(C71^(2/3))*(C72^0.5))/C73</f>
        <v>#DIV/0!</v>
      </c>
      <c r="D79" s="120" t="s">
        <v>88</v>
      </c>
      <c r="E79" s="120"/>
      <c r="F79" s="120"/>
      <c r="G79" s="120"/>
      <c r="H79" s="120"/>
      <c r="N79" s="53"/>
    </row>
    <row r="80" spans="4:8" ht="12.75">
      <c r="D80" s="120"/>
      <c r="E80" s="120"/>
      <c r="F80" s="120"/>
      <c r="G80" s="120"/>
      <c r="H80" s="120"/>
    </row>
    <row r="81" spans="4:8" ht="12.75">
      <c r="D81" s="120"/>
      <c r="E81" s="120"/>
      <c r="F81" s="120"/>
      <c r="G81" s="120"/>
      <c r="H81" s="120"/>
    </row>
    <row r="82" spans="4:8" ht="12.75">
      <c r="D82" s="51"/>
      <c r="E82" s="51"/>
      <c r="F82" s="51"/>
      <c r="G82" s="51"/>
      <c r="H82" s="51"/>
    </row>
    <row r="83" spans="2:8" ht="12.75">
      <c r="B83" s="36" t="s">
        <v>91</v>
      </c>
      <c r="D83" s="51"/>
      <c r="E83" s="51"/>
      <c r="F83" s="51"/>
      <c r="G83" s="51"/>
      <c r="H83" s="51"/>
    </row>
    <row r="84" spans="2:8" ht="12.75">
      <c r="B84" s="48" t="str">
        <f>IF(C74&gt;10,"See Note 2 of HRM Table 5-4 for bioswale bottom widths greater than 10 feet",IF(C74&lt;2,"Minimum bioswale bottom width is 2 feet",""))</f>
        <v>Minimum bioswale bottom width is 2 feet</v>
      </c>
      <c r="D84" s="51"/>
      <c r="E84" s="51"/>
      <c r="F84" s="51"/>
      <c r="G84" s="51"/>
      <c r="H84" s="51"/>
    </row>
    <row r="85" spans="2:8" ht="12.75">
      <c r="B85" s="84">
        <f>IF(C77&gt;0.33,"Maximum water depth exceeded - See HRM Table 5-4 for bioswale maximum water depth","")</f>
      </c>
      <c r="D85" s="51"/>
      <c r="E85" s="51"/>
      <c r="F85" s="51"/>
      <c r="G85" s="51"/>
      <c r="H85" s="51"/>
    </row>
    <row r="86" spans="2:8" ht="12.75">
      <c r="B86" s="84">
        <f>IF(AND(C74&gt;16,C77&gt;0.33),"Try to reduce Qbiofil by limiting area flowing to the bioswale.","")</f>
      </c>
      <c r="D86" s="51"/>
      <c r="E86" s="51"/>
      <c r="F86" s="51"/>
      <c r="G86" s="51"/>
      <c r="H86" s="51"/>
    </row>
    <row r="87" spans="4:8" ht="12.75">
      <c r="D87" s="51"/>
      <c r="E87" s="51"/>
      <c r="F87" s="51"/>
      <c r="G87" s="51"/>
      <c r="H87" s="51"/>
    </row>
    <row r="88" spans="4:8" ht="12.75">
      <c r="D88" s="51"/>
      <c r="E88" s="51"/>
      <c r="F88" s="51"/>
      <c r="G88" s="51"/>
      <c r="H88" s="51"/>
    </row>
    <row r="89" spans="1:8" ht="12.75">
      <c r="A89" s="33" t="s">
        <v>108</v>
      </c>
      <c r="B89" s="33" t="s">
        <v>74</v>
      </c>
      <c r="D89" s="51"/>
      <c r="E89" s="51"/>
      <c r="F89" s="51"/>
      <c r="G89" s="51"/>
      <c r="H89" s="51"/>
    </row>
    <row r="90" spans="2:5" ht="12.75">
      <c r="B90" s="34" t="s">
        <v>49</v>
      </c>
      <c r="D90" s="81"/>
      <c r="E90" s="34" t="s">
        <v>73</v>
      </c>
    </row>
    <row r="91" spans="2:5" ht="12.75">
      <c r="B91" s="34" t="s">
        <v>66</v>
      </c>
      <c r="D91" s="81"/>
      <c r="E91" s="34" t="s">
        <v>55</v>
      </c>
    </row>
    <row r="92" spans="2:5" ht="12.75">
      <c r="B92" s="34" t="s">
        <v>71</v>
      </c>
      <c r="D92" s="81"/>
      <c r="E92" s="34" t="s">
        <v>56</v>
      </c>
    </row>
    <row r="93" spans="2:5" ht="12.75">
      <c r="B93" s="34" t="s">
        <v>69</v>
      </c>
      <c r="D93" s="82"/>
      <c r="E93" s="34" t="s">
        <v>14</v>
      </c>
    </row>
    <row r="94" spans="2:5" ht="12.75">
      <c r="B94" s="34" t="s">
        <v>70</v>
      </c>
      <c r="D94" s="79"/>
      <c r="E94" s="34" t="s">
        <v>75</v>
      </c>
    </row>
    <row r="95" spans="2:5" ht="15">
      <c r="B95" s="34" t="s">
        <v>67</v>
      </c>
      <c r="D95" s="82"/>
      <c r="E95" s="36" t="s">
        <v>19</v>
      </c>
    </row>
    <row r="96" spans="2:5" ht="15">
      <c r="B96" s="34" t="s">
        <v>68</v>
      </c>
      <c r="D96" s="82"/>
      <c r="E96" s="36" t="s">
        <v>19</v>
      </c>
    </row>
    <row r="97" spans="2:5" ht="12.75">
      <c r="B97" s="34" t="s">
        <v>72</v>
      </c>
      <c r="D97" s="80"/>
      <c r="E97" s="34" t="s">
        <v>57</v>
      </c>
    </row>
    <row r="98" spans="2:5" ht="12.75">
      <c r="B98" s="34"/>
      <c r="D98" s="103"/>
      <c r="E98" s="34"/>
    </row>
    <row r="99" spans="1:10" ht="12.75" customHeight="1">
      <c r="A99" s="1" t="s">
        <v>109</v>
      </c>
      <c r="B99" s="124" t="s">
        <v>110</v>
      </c>
      <c r="C99" s="124"/>
      <c r="D99" s="124"/>
      <c r="E99" s="124"/>
      <c r="F99" s="124"/>
      <c r="G99" s="124"/>
      <c r="H99" s="124"/>
      <c r="I99" s="124"/>
      <c r="J99" s="124"/>
    </row>
    <row r="100" spans="1:10" ht="12.75">
      <c r="A100" s="1"/>
      <c r="B100" s="124"/>
      <c r="C100" s="124"/>
      <c r="D100" s="124"/>
      <c r="E100" s="124"/>
      <c r="F100" s="124"/>
      <c r="G100" s="124"/>
      <c r="H100" s="124"/>
      <c r="I100" s="124"/>
      <c r="J100" s="124"/>
    </row>
    <row r="101" spans="1:4" ht="12.75">
      <c r="A101" s="1"/>
      <c r="D101" s="86"/>
    </row>
    <row r="102" spans="1:10" ht="25.5" customHeight="1">
      <c r="A102" s="1"/>
      <c r="B102" t="s">
        <v>2</v>
      </c>
      <c r="C102" s="107"/>
      <c r="D102" s="86" t="s">
        <v>26</v>
      </c>
      <c r="E102" s="109" t="s">
        <v>111</v>
      </c>
      <c r="F102" s="109"/>
      <c r="G102" s="109"/>
      <c r="H102" s="109"/>
      <c r="I102" s="109"/>
      <c r="J102" s="10"/>
    </row>
    <row r="103" spans="1:9" ht="12.75">
      <c r="A103" s="1"/>
      <c r="D103" s="86"/>
      <c r="E103" s="109"/>
      <c r="F103" s="109"/>
      <c r="G103" s="109"/>
      <c r="H103" s="109"/>
      <c r="I103" s="109"/>
    </row>
    <row r="104" spans="1:9" ht="12.75">
      <c r="A104" s="1"/>
      <c r="B104" s="101"/>
      <c r="C104" s="102" t="s">
        <v>112</v>
      </c>
      <c r="D104" s="101"/>
      <c r="E104" s="106"/>
      <c r="F104" s="106"/>
      <c r="G104" s="106"/>
      <c r="H104" s="106"/>
      <c r="I104" s="106"/>
    </row>
    <row r="105" spans="1:5" ht="15">
      <c r="A105" s="1"/>
      <c r="B105" t="s">
        <v>113</v>
      </c>
      <c r="C105" s="107"/>
      <c r="D105" s="86" t="s">
        <v>114</v>
      </c>
      <c r="E105" t="str">
        <f>IF(E15="YES","Qwq from SBUH","Qwq determined from MGSFlood as per HRM")</f>
        <v>Qwq determined from MGSFlood as per HRM</v>
      </c>
    </row>
    <row r="106" spans="1:5" ht="15">
      <c r="A106" s="1"/>
      <c r="B106" t="s">
        <v>116</v>
      </c>
      <c r="C106" s="107"/>
      <c r="D106" s="86" t="s">
        <v>26</v>
      </c>
      <c r="E106" t="s">
        <v>117</v>
      </c>
    </row>
    <row r="107" spans="1:4" ht="12.75">
      <c r="A107" s="1"/>
      <c r="D107" s="86"/>
    </row>
    <row r="108" spans="1:4" ht="12.75">
      <c r="A108" s="1"/>
      <c r="B108" s="101"/>
      <c r="C108" s="102" t="s">
        <v>118</v>
      </c>
      <c r="D108" s="101"/>
    </row>
    <row r="109" spans="1:5" ht="15">
      <c r="A109" s="1"/>
      <c r="B109" t="s">
        <v>119</v>
      </c>
      <c r="C109" s="107"/>
      <c r="D109" s="86" t="s">
        <v>114</v>
      </c>
      <c r="E109" t="s">
        <v>115</v>
      </c>
    </row>
    <row r="110" spans="1:5" ht="15">
      <c r="A110" s="1"/>
      <c r="B110" t="s">
        <v>120</v>
      </c>
      <c r="C110" s="107"/>
      <c r="D110" s="86" t="s">
        <v>26</v>
      </c>
      <c r="E110" t="s">
        <v>117</v>
      </c>
    </row>
    <row r="111" spans="1:4" ht="12.75">
      <c r="A111" s="1"/>
      <c r="C111" s="91"/>
      <c r="D111" s="86"/>
    </row>
    <row r="112" spans="1:4" ht="12.75">
      <c r="A112" s="1"/>
      <c r="B112" s="101"/>
      <c r="C112" s="102" t="s">
        <v>121</v>
      </c>
      <c r="D112" s="101"/>
    </row>
    <row r="113" spans="1:5" ht="15">
      <c r="A113" s="1"/>
      <c r="B113" t="s">
        <v>122</v>
      </c>
      <c r="C113" s="107"/>
      <c r="D113" s="86" t="s">
        <v>114</v>
      </c>
      <c r="E113" t="s">
        <v>115</v>
      </c>
    </row>
    <row r="114" spans="1:5" ht="15">
      <c r="A114" s="1"/>
      <c r="B114" t="s">
        <v>123</v>
      </c>
      <c r="C114" s="107"/>
      <c r="D114" s="86" t="s">
        <v>26</v>
      </c>
      <c r="E114" t="s">
        <v>117</v>
      </c>
    </row>
    <row r="115" spans="1:4" ht="12.75">
      <c r="A115" s="1"/>
      <c r="C115" s="91"/>
      <c r="D115" s="86"/>
    </row>
    <row r="116" spans="1:4" ht="12.75">
      <c r="A116" s="1"/>
      <c r="B116" s="101"/>
      <c r="C116" s="102" t="s">
        <v>124</v>
      </c>
      <c r="D116" s="101"/>
    </row>
    <row r="117" spans="1:5" ht="15">
      <c r="A117" s="1"/>
      <c r="B117" t="s">
        <v>125</v>
      </c>
      <c r="C117" s="107"/>
      <c r="D117" s="86" t="s">
        <v>114</v>
      </c>
      <c r="E117" t="s">
        <v>115</v>
      </c>
    </row>
    <row r="118" spans="1:5" ht="15">
      <c r="A118" s="1"/>
      <c r="B118" t="s">
        <v>126</v>
      </c>
      <c r="C118" s="107"/>
      <c r="D118" s="86" t="s">
        <v>26</v>
      </c>
      <c r="E118" t="s">
        <v>117</v>
      </c>
    </row>
    <row r="119" spans="1:4" ht="12.75">
      <c r="A119" s="1"/>
      <c r="C119" s="91"/>
      <c r="D119" s="86"/>
    </row>
    <row r="120" spans="1:4" ht="12.75">
      <c r="A120" s="1"/>
      <c r="B120" s="101"/>
      <c r="C120" s="102" t="s">
        <v>127</v>
      </c>
      <c r="D120" s="101"/>
    </row>
    <row r="121" spans="1:5" ht="15">
      <c r="A121" s="1"/>
      <c r="B121" t="s">
        <v>128</v>
      </c>
      <c r="C121" s="107"/>
      <c r="D121" s="86" t="s">
        <v>114</v>
      </c>
      <c r="E121" t="s">
        <v>115</v>
      </c>
    </row>
    <row r="122" spans="1:5" ht="15">
      <c r="A122" s="1"/>
      <c r="B122" t="s">
        <v>129</v>
      </c>
      <c r="C122" s="107"/>
      <c r="D122" s="86" t="s">
        <v>26</v>
      </c>
      <c r="E122" t="s">
        <v>117</v>
      </c>
    </row>
    <row r="123" spans="1:4" ht="12.75">
      <c r="A123" s="1"/>
      <c r="C123" s="91"/>
      <c r="D123" s="86"/>
    </row>
    <row r="124" spans="1:4" ht="12.75">
      <c r="A124" s="1"/>
      <c r="B124" s="101"/>
      <c r="C124" s="102" t="s">
        <v>130</v>
      </c>
      <c r="D124" s="101"/>
    </row>
    <row r="125" spans="1:5" ht="15">
      <c r="A125" s="1"/>
      <c r="B125" t="s">
        <v>131</v>
      </c>
      <c r="C125" s="107"/>
      <c r="D125" s="86" t="s">
        <v>114</v>
      </c>
      <c r="E125" t="s">
        <v>115</v>
      </c>
    </row>
    <row r="126" spans="1:5" ht="15">
      <c r="A126" s="1"/>
      <c r="B126" t="s">
        <v>132</v>
      </c>
      <c r="C126" s="107"/>
      <c r="D126" s="86" t="s">
        <v>26</v>
      </c>
      <c r="E126" t="s">
        <v>117</v>
      </c>
    </row>
    <row r="127" spans="1:4" ht="12.75">
      <c r="A127" s="1"/>
      <c r="C127" s="91"/>
      <c r="D127" s="86"/>
    </row>
    <row r="128" spans="1:4" ht="12.75">
      <c r="A128" s="1"/>
      <c r="B128" s="101"/>
      <c r="C128" s="102" t="s">
        <v>133</v>
      </c>
      <c r="D128" s="101"/>
    </row>
    <row r="129" spans="1:5" ht="15">
      <c r="A129" s="1"/>
      <c r="B129" t="s">
        <v>134</v>
      </c>
      <c r="C129" s="107"/>
      <c r="D129" s="86" t="s">
        <v>114</v>
      </c>
      <c r="E129" t="s">
        <v>115</v>
      </c>
    </row>
    <row r="130" spans="1:5" ht="15">
      <c r="A130" s="1"/>
      <c r="B130" t="s">
        <v>135</v>
      </c>
      <c r="C130" s="107"/>
      <c r="D130" s="86" t="s">
        <v>26</v>
      </c>
      <c r="E130" t="s">
        <v>117</v>
      </c>
    </row>
    <row r="131" spans="1:4" ht="12.75">
      <c r="A131" s="1"/>
      <c r="C131" s="91"/>
      <c r="D131" s="86"/>
    </row>
    <row r="132" spans="1:4" ht="12.75">
      <c r="A132" s="1"/>
      <c r="B132" s="101"/>
      <c r="C132" s="102" t="s">
        <v>136</v>
      </c>
      <c r="D132" s="101"/>
    </row>
    <row r="133" spans="1:5" ht="15">
      <c r="A133" s="1"/>
      <c r="B133" t="s">
        <v>137</v>
      </c>
      <c r="C133" s="107"/>
      <c r="D133" s="86" t="s">
        <v>114</v>
      </c>
      <c r="E133" t="s">
        <v>115</v>
      </c>
    </row>
    <row r="134" spans="1:5" ht="15">
      <c r="A134" s="1"/>
      <c r="B134" t="s">
        <v>138</v>
      </c>
      <c r="C134" s="107"/>
      <c r="D134" s="86" t="s">
        <v>26</v>
      </c>
      <c r="E134" t="s">
        <v>117</v>
      </c>
    </row>
    <row r="135" spans="1:4" ht="12.75">
      <c r="A135" s="1"/>
      <c r="C135" s="91"/>
      <c r="D135" s="86"/>
    </row>
    <row r="136" spans="1:4" ht="12.75">
      <c r="A136" s="1" t="s">
        <v>139</v>
      </c>
      <c r="B136" s="1" t="s">
        <v>140</v>
      </c>
      <c r="C136" s="91"/>
      <c r="D136" s="86"/>
    </row>
    <row r="137" spans="1:4" ht="12.75">
      <c r="A137" s="1"/>
      <c r="B137" s="2" t="s">
        <v>141</v>
      </c>
      <c r="C137" s="91"/>
      <c r="D137" s="86"/>
    </row>
    <row r="138" spans="1:4" ht="12.75">
      <c r="A138" s="1"/>
      <c r="C138" s="91"/>
      <c r="D138" s="86"/>
    </row>
    <row r="139" spans="1:4" ht="15">
      <c r="A139" s="1" t="s">
        <v>142</v>
      </c>
      <c r="B139" s="1" t="s">
        <v>143</v>
      </c>
      <c r="D139" s="86"/>
    </row>
    <row r="140" spans="1:7" ht="15">
      <c r="A140" s="1"/>
      <c r="B140" s="2" t="s">
        <v>144</v>
      </c>
      <c r="C140" s="87">
        <f>Area1!B40</f>
        <v>0</v>
      </c>
      <c r="D140" s="86" t="s">
        <v>114</v>
      </c>
      <c r="E140" t="s">
        <v>145</v>
      </c>
      <c r="F140" t="e">
        <f>Area1!B46</f>
        <v>#DIV/0!</v>
      </c>
      <c r="G140" t="s">
        <v>146</v>
      </c>
    </row>
    <row r="141" spans="1:7" ht="15">
      <c r="A141" s="1"/>
      <c r="B141" s="2" t="s">
        <v>147</v>
      </c>
      <c r="C141" s="87">
        <f>Area2!B40</f>
        <v>0</v>
      </c>
      <c r="D141" s="86" t="s">
        <v>114</v>
      </c>
      <c r="E141" t="s">
        <v>148</v>
      </c>
      <c r="F141" t="e">
        <f>Area2!B46</f>
        <v>#DIV/0!</v>
      </c>
      <c r="G141" t="s">
        <v>146</v>
      </c>
    </row>
    <row r="142" spans="1:7" ht="15">
      <c r="A142" s="1"/>
      <c r="B142" s="2" t="s">
        <v>149</v>
      </c>
      <c r="C142" s="87">
        <f>Area3!B40</f>
        <v>0</v>
      </c>
      <c r="D142" s="86" t="s">
        <v>114</v>
      </c>
      <c r="E142" t="s">
        <v>150</v>
      </c>
      <c r="F142" t="e">
        <f>Area3!B46</f>
        <v>#DIV/0!</v>
      </c>
      <c r="G142" t="s">
        <v>146</v>
      </c>
    </row>
    <row r="143" spans="1:7" ht="15">
      <c r="A143" s="1"/>
      <c r="B143" s="2" t="s">
        <v>151</v>
      </c>
      <c r="C143" s="87">
        <f>Area4!B40</f>
        <v>0</v>
      </c>
      <c r="D143" s="86" t="s">
        <v>114</v>
      </c>
      <c r="E143" t="s">
        <v>152</v>
      </c>
      <c r="F143" t="e">
        <f>Area4!B46</f>
        <v>#DIV/0!</v>
      </c>
      <c r="G143" t="s">
        <v>146</v>
      </c>
    </row>
    <row r="144" spans="1:7" ht="15">
      <c r="A144" s="1"/>
      <c r="B144" s="2" t="s">
        <v>153</v>
      </c>
      <c r="C144" s="87">
        <f>Area5!B40</f>
        <v>0</v>
      </c>
      <c r="D144" s="86" t="s">
        <v>114</v>
      </c>
      <c r="E144" t="s">
        <v>154</v>
      </c>
      <c r="F144" t="e">
        <f>Area5!B46</f>
        <v>#DIV/0!</v>
      </c>
      <c r="G144" t="s">
        <v>146</v>
      </c>
    </row>
    <row r="145" spans="1:7" ht="15">
      <c r="A145" s="1"/>
      <c r="B145" s="2" t="s">
        <v>155</v>
      </c>
      <c r="C145" s="87">
        <f>Area6!B40</f>
        <v>0</v>
      </c>
      <c r="D145" s="86" t="s">
        <v>114</v>
      </c>
      <c r="E145" t="s">
        <v>156</v>
      </c>
      <c r="F145" t="e">
        <f>Area6!B46</f>
        <v>#DIV/0!</v>
      </c>
      <c r="G145" t="s">
        <v>146</v>
      </c>
    </row>
    <row r="146" spans="1:7" ht="15">
      <c r="A146" s="1"/>
      <c r="B146" s="2" t="s">
        <v>157</v>
      </c>
      <c r="C146" s="87">
        <f>Area7!B40</f>
        <v>0</v>
      </c>
      <c r="D146" s="86" t="s">
        <v>114</v>
      </c>
      <c r="E146" t="s">
        <v>158</v>
      </c>
      <c r="F146" t="e">
        <f>Area7!B46</f>
        <v>#DIV/0!</v>
      </c>
      <c r="G146" t="s">
        <v>146</v>
      </c>
    </row>
    <row r="147" spans="1:7" ht="15">
      <c r="A147" s="1"/>
      <c r="B147" s="2" t="s">
        <v>159</v>
      </c>
      <c r="C147" s="87">
        <f>Area8!B40</f>
        <v>0</v>
      </c>
      <c r="D147" s="86" t="s">
        <v>114</v>
      </c>
      <c r="E147" t="s">
        <v>160</v>
      </c>
      <c r="F147" t="e">
        <f>Area8!B46</f>
        <v>#DIV/0!</v>
      </c>
      <c r="G147" t="s">
        <v>146</v>
      </c>
    </row>
    <row r="148" spans="1:4" ht="12.75">
      <c r="A148" s="1"/>
      <c r="B148" s="2"/>
      <c r="C148" s="87"/>
      <c r="D148" s="86"/>
    </row>
    <row r="149" spans="1:4" ht="15">
      <c r="A149" s="1" t="s">
        <v>161</v>
      </c>
      <c r="B149" s="1" t="s">
        <v>162</v>
      </c>
      <c r="D149" s="86"/>
    </row>
    <row r="150" spans="1:4" ht="15">
      <c r="A150" s="1"/>
      <c r="B150" t="s">
        <v>163</v>
      </c>
      <c r="C150" s="87">
        <f>SUM(C140:C147)</f>
        <v>0</v>
      </c>
      <c r="D150" s="86" t="s">
        <v>114</v>
      </c>
    </row>
    <row r="151" spans="1:4" ht="15">
      <c r="A151" s="1"/>
      <c r="B151" t="s">
        <v>164</v>
      </c>
      <c r="C151" s="87" t="e">
        <f>(IF(ISERROR(F140),0,(C140*F140))+IF(ISERROR(F141),0,(F141*C141))+IF(ISERROR(F142),0,(F142*C142))+IF(ISERROR(F143),0,(F143*C143))+IF(ISERROR(F144),0,(F144*C144))+IF(ISERROR(F145),0,(F145*C145))+IF(ISERROR(F146),0,(F146*C146))+IF(ISERROR(F147),0,(F147*C147)))/C150</f>
        <v>#DIV/0!</v>
      </c>
      <c r="D151" s="86"/>
    </row>
    <row r="152" spans="1:4" ht="12.75">
      <c r="A152" s="1"/>
      <c r="D152" s="86"/>
    </row>
    <row r="153" spans="1:4" ht="15">
      <c r="A153" s="1" t="s">
        <v>165</v>
      </c>
      <c r="B153" s="2" t="s">
        <v>198</v>
      </c>
      <c r="D153" s="86"/>
    </row>
    <row r="154" spans="1:4" ht="15">
      <c r="A154" s="1"/>
      <c r="B154" t="s">
        <v>13</v>
      </c>
      <c r="C154" s="92" t="e">
        <f>C150/C22</f>
        <v>#DIV/0!</v>
      </c>
      <c r="D154" s="86" t="s">
        <v>166</v>
      </c>
    </row>
    <row r="155" spans="1:4" ht="15">
      <c r="A155" s="1"/>
      <c r="B155" t="s">
        <v>167</v>
      </c>
      <c r="C155" s="92" t="e">
        <f>C154*C151</f>
        <v>#DIV/0!</v>
      </c>
      <c r="D155" s="86" t="s">
        <v>194</v>
      </c>
    </row>
    <row r="156" spans="1:4" ht="12.75">
      <c r="A156" s="1"/>
      <c r="D156" s="86"/>
    </row>
    <row r="157" spans="1:11" ht="12.75" customHeight="1">
      <c r="A157" s="99" t="s">
        <v>168</v>
      </c>
      <c r="B157" s="98"/>
      <c r="C157" s="98"/>
      <c r="D157" s="98"/>
      <c r="E157" s="98"/>
      <c r="F157" s="98"/>
      <c r="G157" s="98"/>
      <c r="H157" s="98"/>
      <c r="I157" s="98"/>
      <c r="J157" s="98"/>
      <c r="K157" s="98"/>
    </row>
    <row r="158" spans="1:11" ht="12.75">
      <c r="A158" s="1"/>
      <c r="B158" s="97"/>
      <c r="C158" s="98"/>
      <c r="D158" s="98"/>
      <c r="E158" s="98"/>
      <c r="F158" s="98"/>
      <c r="G158" s="98"/>
      <c r="H158" s="98"/>
      <c r="I158" s="98"/>
      <c r="J158" s="98"/>
      <c r="K158" s="98"/>
    </row>
    <row r="159" spans="1:5" ht="15">
      <c r="A159" s="1" t="s">
        <v>169</v>
      </c>
      <c r="B159" s="2" t="s">
        <v>170</v>
      </c>
      <c r="C159" s="92" t="e">
        <f>1080-C155</f>
        <v>#DIV/0!</v>
      </c>
      <c r="D159" s="86" t="s">
        <v>146</v>
      </c>
      <c r="E159" s="95" t="s">
        <v>171</v>
      </c>
    </row>
    <row r="160" spans="1:4" ht="12.75">
      <c r="A160" s="1"/>
      <c r="C160" s="92"/>
      <c r="D160" s="86"/>
    </row>
    <row r="161" spans="1:10" ht="15" customHeight="1">
      <c r="A161" s="1" t="s">
        <v>61</v>
      </c>
      <c r="B161" t="s">
        <v>16</v>
      </c>
      <c r="C161" s="96" t="e">
        <f>C22/D90</f>
        <v>#DIV/0!</v>
      </c>
      <c r="D161" s="86" t="s">
        <v>195</v>
      </c>
      <c r="E161" s="86" t="s">
        <v>172</v>
      </c>
      <c r="F161" s="104" t="s">
        <v>173</v>
      </c>
      <c r="G161" s="105"/>
      <c r="H161" s="105"/>
      <c r="I161" s="105"/>
      <c r="J161" s="105"/>
    </row>
    <row r="162" spans="1:10" ht="12.75">
      <c r="A162" s="1"/>
      <c r="C162" s="92"/>
      <c r="D162" s="86"/>
      <c r="F162" s="105"/>
      <c r="G162" s="105"/>
      <c r="H162" s="105"/>
      <c r="I162" s="105"/>
      <c r="J162" s="105"/>
    </row>
    <row r="163" spans="1:4" ht="12.75">
      <c r="A163" s="1"/>
      <c r="C163" s="92"/>
      <c r="D163" s="86"/>
    </row>
    <row r="164" spans="1:10" ht="12.75" customHeight="1">
      <c r="A164" s="1" t="s">
        <v>60</v>
      </c>
      <c r="B164" t="s">
        <v>17</v>
      </c>
      <c r="C164" s="93" t="e">
        <f>C161*C159</f>
        <v>#DIV/0!</v>
      </c>
      <c r="D164" s="86" t="s">
        <v>26</v>
      </c>
      <c r="E164" s="11" t="s">
        <v>174</v>
      </c>
      <c r="F164" s="90"/>
      <c r="G164" s="90"/>
      <c r="H164" s="90"/>
      <c r="I164" s="90"/>
      <c r="J164" s="90"/>
    </row>
    <row r="165" spans="1:10" ht="12.75">
      <c r="A165" s="1"/>
      <c r="D165" s="86"/>
      <c r="E165" s="90"/>
      <c r="F165" s="90"/>
      <c r="G165" s="90"/>
      <c r="H165" s="90"/>
      <c r="I165" s="90"/>
      <c r="J165" s="90"/>
    </row>
    <row r="166" spans="1:5" ht="15">
      <c r="A166" s="1"/>
      <c r="B166" t="s">
        <v>175</v>
      </c>
      <c r="C166">
        <f>C106+C110+C114+C118+C122+C126+C130+C134</f>
        <v>0</v>
      </c>
      <c r="D166" s="86" t="s">
        <v>26</v>
      </c>
      <c r="E166" s="2" t="s">
        <v>176</v>
      </c>
    </row>
    <row r="167" spans="1:4" ht="12.75">
      <c r="A167" s="1"/>
      <c r="D167" s="86"/>
    </row>
    <row r="168" spans="1:5" ht="15">
      <c r="A168" s="1"/>
      <c r="B168" t="s">
        <v>177</v>
      </c>
      <c r="C168" s="100" t="e">
        <f>IF(C164&gt;C166,C164,C166)</f>
        <v>#DIV/0!</v>
      </c>
      <c r="D168" s="86" t="s">
        <v>26</v>
      </c>
      <c r="E168" s="2" t="s">
        <v>178</v>
      </c>
    </row>
    <row r="169" spans="1:5" ht="12.75">
      <c r="A169" s="1"/>
      <c r="C169" s="93"/>
      <c r="D169" s="86"/>
      <c r="E169" s="2"/>
    </row>
    <row r="170" spans="2:13" ht="12.75">
      <c r="B170" s="54"/>
      <c r="C170" s="55"/>
      <c r="D170" s="34"/>
      <c r="F170" s="65"/>
      <c r="H170" s="66"/>
      <c r="I170" s="54"/>
      <c r="J170" s="54"/>
      <c r="K170" s="54"/>
      <c r="L170" s="54"/>
      <c r="M170" s="54"/>
    </row>
    <row r="171" spans="1:13" ht="12.75">
      <c r="A171" s="33" t="s">
        <v>64</v>
      </c>
      <c r="B171" s="66" t="s">
        <v>94</v>
      </c>
      <c r="C171" s="55"/>
      <c r="D171" s="34"/>
      <c r="F171" s="65"/>
      <c r="H171" s="66"/>
      <c r="I171" s="54"/>
      <c r="J171" s="54"/>
      <c r="K171" s="54"/>
      <c r="L171" s="54"/>
      <c r="M171" s="54"/>
    </row>
    <row r="172" spans="2:13" ht="12.75">
      <c r="B172" s="66"/>
      <c r="C172" s="55"/>
      <c r="D172" s="34"/>
      <c r="F172" s="65"/>
      <c r="H172" s="66"/>
      <c r="I172" s="54"/>
      <c r="J172" s="54"/>
      <c r="K172" s="54"/>
      <c r="L172" s="54"/>
      <c r="M172" s="54"/>
    </row>
    <row r="173" spans="2:5" ht="12.75">
      <c r="B173" s="54"/>
      <c r="C173" s="74"/>
      <c r="D173" s="36" t="str">
        <f>IF(C173="YES","Repeat Steps D3 - D10","Continue to Step FC-1")</f>
        <v>Continue to Step FC-1</v>
      </c>
      <c r="E173" s="66"/>
    </row>
    <row r="174" spans="3:5" ht="12.75">
      <c r="C174" s="34"/>
      <c r="E174" s="34"/>
    </row>
    <row r="175" ht="12.75">
      <c r="B175" s="33" t="str">
        <f>IF(E20="Online","Freeboard Check (Online Swales Only)","Freeboard Check Not Required for Offline Swales")</f>
        <v>Freeboard Check (Online Swales Only)</v>
      </c>
    </row>
    <row r="177" spans="1:18" ht="12.75">
      <c r="A177" s="33" t="s">
        <v>20</v>
      </c>
      <c r="B177" s="34" t="str">
        <f>IF(AND(E15="No",E20="Online"),"Q50yr",IF(AND(E15="Yes",E20="Online"),"Q25yr","N/A"))</f>
        <v>N/A</v>
      </c>
      <c r="C177" s="30"/>
      <c r="D177" s="132" t="str">
        <f>IF(B177="Q50yr","cfs - MGSFlood, use the 50 year 15 minute time step, see HRM.  If using station data, use the 100 year, 1 hour rate and multiply by the safety factor below.",IF(B177="Q25yr","cfs - If in Eastern Washington, use the 25 year storm event","THIS IS AN OFFLINE SWALE - THE FREEBOARD CHECK IS NOT REQUIRED"))</f>
        <v>THIS IS AN OFFLINE SWALE - THE FREEBOARD CHECK IS NOT REQUIRED</v>
      </c>
      <c r="E177" s="133"/>
      <c r="F177" s="133"/>
      <c r="G177" s="133"/>
      <c r="H177" s="133"/>
      <c r="I177" s="133"/>
      <c r="M177" s="53"/>
      <c r="N177" s="54"/>
      <c r="O177" s="54"/>
      <c r="P177" s="54"/>
      <c r="Q177" s="54"/>
      <c r="R177" s="56"/>
    </row>
    <row r="178" spans="2:18" ht="12.75">
      <c r="B178" s="34"/>
      <c r="C178" s="55"/>
      <c r="D178" s="132"/>
      <c r="E178" s="133"/>
      <c r="F178" s="133"/>
      <c r="G178" s="133"/>
      <c r="H178" s="133"/>
      <c r="I178" s="133"/>
      <c r="M178" s="54"/>
      <c r="N178" s="54"/>
      <c r="O178" s="54"/>
      <c r="P178" s="54"/>
      <c r="Q178" s="54"/>
      <c r="R178" s="56"/>
    </row>
    <row r="179" spans="2:18" ht="12.75">
      <c r="B179" s="34"/>
      <c r="C179" s="55"/>
      <c r="D179" s="133"/>
      <c r="E179" s="133"/>
      <c r="F179" s="133"/>
      <c r="G179" s="133"/>
      <c r="H179" s="133"/>
      <c r="I179" s="133"/>
      <c r="M179" s="55"/>
      <c r="N179" s="54"/>
      <c r="O179" s="54"/>
      <c r="P179" s="54"/>
      <c r="Q179" s="54"/>
      <c r="R179" s="56"/>
    </row>
    <row r="180" spans="3:18" ht="12.75">
      <c r="C180" s="30"/>
      <c r="D180" s="34">
        <f>IF(B177="N/A","",IF(B177="Q50yr","Safety Factor (For MGSFlood, 1.0 if using extended time series, 1.6 if using station data)",IF(B177="Q25yr","Safety Factor - For SBUH or SCS, use 1.0","Safety Factor")))</f>
      </c>
      <c r="M180" s="56"/>
      <c r="N180" s="54"/>
      <c r="O180" s="54"/>
      <c r="P180" s="54"/>
      <c r="Q180" s="54"/>
      <c r="R180" s="56"/>
    </row>
    <row r="181" spans="2:18" ht="15">
      <c r="B181" s="36" t="s">
        <v>76</v>
      </c>
      <c r="C181" s="55">
        <f>C177*C180</f>
        <v>0</v>
      </c>
      <c r="D181" s="36">
        <f>IF(B177="N/A","",IF(E15="NO","cfs - Q50yr x saftey factor","cfs - Q25yr x saftey factor"))</f>
      </c>
      <c r="M181" s="55"/>
      <c r="N181" s="54"/>
      <c r="O181" s="54"/>
      <c r="P181" s="54"/>
      <c r="Q181" s="54"/>
      <c r="R181" s="55"/>
    </row>
    <row r="182" spans="1:18" ht="12.75">
      <c r="A182" s="33" t="s">
        <v>22</v>
      </c>
      <c r="B182" s="36" t="s">
        <v>8</v>
      </c>
      <c r="C182" s="55">
        <v>0.03</v>
      </c>
      <c r="D182" s="36" t="s">
        <v>29</v>
      </c>
      <c r="M182" s="57"/>
      <c r="N182" s="54"/>
      <c r="O182" s="54"/>
      <c r="P182" s="54"/>
      <c r="Q182" s="54"/>
      <c r="R182" s="63"/>
    </row>
    <row r="183" spans="1:18" ht="12.75">
      <c r="A183" s="33" t="s">
        <v>23</v>
      </c>
      <c r="B183" s="36" t="s">
        <v>21</v>
      </c>
      <c r="C183" s="29"/>
      <c r="D183" s="34" t="s">
        <v>57</v>
      </c>
      <c r="M183" s="55"/>
      <c r="N183" s="54"/>
      <c r="O183" s="54"/>
      <c r="P183" s="54"/>
      <c r="Q183" s="66"/>
      <c r="R183" s="55"/>
    </row>
    <row r="184" spans="2:18" ht="12.75">
      <c r="B184" s="75" t="s">
        <v>12</v>
      </c>
      <c r="C184" s="76">
        <f>0.5*C183*(C187+C187+C188*C183+C189*C183)</f>
        <v>0</v>
      </c>
      <c r="D184" s="34" t="s">
        <v>54</v>
      </c>
      <c r="E184" s="47"/>
      <c r="M184" s="54"/>
      <c r="N184" s="55"/>
      <c r="O184" s="54"/>
      <c r="P184" s="54"/>
      <c r="Q184" s="66"/>
      <c r="R184" s="55"/>
    </row>
    <row r="185" spans="2:18" ht="12.75">
      <c r="B185" s="75" t="s">
        <v>13</v>
      </c>
      <c r="C185" s="35" t="e">
        <f>C184/(C187+(C183/(COS(ATAN(C188/1))))+(C183/(COS(ATAN(C189/1)))))</f>
        <v>#DIV/0!</v>
      </c>
      <c r="D185" s="34" t="s">
        <v>55</v>
      </c>
      <c r="E185" s="55"/>
      <c r="F185" s="45"/>
      <c r="G185" s="45"/>
      <c r="H185" s="45"/>
      <c r="I185" s="45"/>
      <c r="J185" s="45"/>
      <c r="M185" s="54"/>
      <c r="N185" s="55"/>
      <c r="O185" s="54"/>
      <c r="P185" s="54"/>
      <c r="Q185" s="54"/>
      <c r="R185" s="64"/>
    </row>
    <row r="186" spans="2:18" ht="12.75">
      <c r="B186" s="75" t="s">
        <v>65</v>
      </c>
      <c r="C186" s="35">
        <f>C25</f>
        <v>0</v>
      </c>
      <c r="D186" s="34" t="s">
        <v>56</v>
      </c>
      <c r="F186" s="45"/>
      <c r="G186" s="45"/>
      <c r="H186" s="45"/>
      <c r="I186" s="45"/>
      <c r="J186" s="45"/>
      <c r="M186" s="54"/>
      <c r="N186" s="54"/>
      <c r="O186" s="54"/>
      <c r="P186" s="54"/>
      <c r="Q186" s="54"/>
      <c r="R186" s="55"/>
    </row>
    <row r="187" spans="2:18" ht="12.75" customHeight="1">
      <c r="B187" s="36" t="s">
        <v>15</v>
      </c>
      <c r="C187" s="63">
        <f>D94</f>
        <v>0</v>
      </c>
      <c r="D187" s="34" t="s">
        <v>75</v>
      </c>
      <c r="E187" s="47"/>
      <c r="F187" s="75"/>
      <c r="G187" s="75"/>
      <c r="H187" s="75"/>
      <c r="I187" s="75"/>
      <c r="J187" s="75"/>
      <c r="M187" s="54"/>
      <c r="N187" s="53"/>
      <c r="O187" s="54"/>
      <c r="P187" s="54"/>
      <c r="Q187" s="54"/>
      <c r="R187" s="56"/>
    </row>
    <row r="188" spans="2:18" ht="15">
      <c r="B188" s="34" t="s">
        <v>27</v>
      </c>
      <c r="C188" s="63">
        <f>D95</f>
        <v>0</v>
      </c>
      <c r="D188" s="36" t="s">
        <v>19</v>
      </c>
      <c r="F188" s="75"/>
      <c r="G188" s="75"/>
      <c r="H188" s="75"/>
      <c r="I188" s="75"/>
      <c r="J188" s="75"/>
      <c r="M188" s="54"/>
      <c r="N188" s="54"/>
      <c r="O188" s="54"/>
      <c r="P188" s="54"/>
      <c r="Q188" s="54"/>
      <c r="R188" s="54"/>
    </row>
    <row r="189" spans="2:18" ht="15">
      <c r="B189" s="34" t="s">
        <v>28</v>
      </c>
      <c r="C189" s="63">
        <f>D96</f>
        <v>0</v>
      </c>
      <c r="D189" s="36" t="s">
        <v>19</v>
      </c>
      <c r="F189" s="75"/>
      <c r="G189" s="75"/>
      <c r="H189" s="75"/>
      <c r="I189" s="75"/>
      <c r="J189" s="75"/>
      <c r="M189" s="54"/>
      <c r="N189" s="55"/>
      <c r="O189" s="66"/>
      <c r="P189" s="54"/>
      <c r="Q189" s="54"/>
      <c r="R189" s="54"/>
    </row>
    <row r="190" spans="3:18" ht="12.75">
      <c r="C190" s="54"/>
      <c r="M190" s="54"/>
      <c r="N190" s="54"/>
      <c r="O190" s="54"/>
      <c r="P190" s="54"/>
      <c r="Q190" s="54"/>
      <c r="R190" s="54"/>
    </row>
    <row r="191" spans="2:10" ht="15.75" customHeight="1">
      <c r="B191" s="34" t="s">
        <v>76</v>
      </c>
      <c r="C191" s="77" t="e">
        <f>(1.49*C184*(C185^(2/3))*(C186^0.5))/C182</f>
        <v>#DIV/0!</v>
      </c>
      <c r="D191" s="120" t="s">
        <v>87</v>
      </c>
      <c r="E191" s="134"/>
      <c r="F191" s="134"/>
      <c r="G191" s="134"/>
      <c r="H191" s="134"/>
      <c r="I191" s="51"/>
      <c r="J191" s="51"/>
    </row>
    <row r="192" spans="4:10" ht="12.75">
      <c r="D192" s="134"/>
      <c r="E192" s="134"/>
      <c r="F192" s="134"/>
      <c r="G192" s="134"/>
      <c r="H192" s="134"/>
      <c r="I192" s="51"/>
      <c r="J192" s="51"/>
    </row>
    <row r="193" spans="4:8" ht="12.75">
      <c r="D193" s="134"/>
      <c r="E193" s="134"/>
      <c r="F193" s="134"/>
      <c r="G193" s="134"/>
      <c r="H193" s="134"/>
    </row>
    <row r="194" spans="1:11" ht="15">
      <c r="A194" s="33" t="s">
        <v>24</v>
      </c>
      <c r="B194" s="34" t="s">
        <v>77</v>
      </c>
      <c r="C194" s="78">
        <f>1+C183</f>
        <v>1</v>
      </c>
      <c r="D194" s="120" t="s">
        <v>92</v>
      </c>
      <c r="E194" s="120"/>
      <c r="F194" s="120"/>
      <c r="G194" s="120"/>
      <c r="H194" s="120"/>
      <c r="I194" s="120"/>
      <c r="J194" s="120"/>
      <c r="K194" s="120"/>
    </row>
    <row r="195" spans="4:11" ht="12.75">
      <c r="D195" s="120"/>
      <c r="E195" s="120"/>
      <c r="F195" s="120"/>
      <c r="G195" s="120"/>
      <c r="H195" s="120"/>
      <c r="I195" s="120"/>
      <c r="J195" s="120"/>
      <c r="K195" s="120"/>
    </row>
    <row r="196" spans="3:5" ht="13.5" thickBot="1">
      <c r="C196" s="45"/>
      <c r="D196" s="45"/>
      <c r="E196" s="55"/>
    </row>
    <row r="197" spans="2:10" ht="12.75" customHeight="1" thickBot="1">
      <c r="B197" s="135" t="s">
        <v>78</v>
      </c>
      <c r="C197" s="136"/>
      <c r="D197" s="136"/>
      <c r="E197" s="136"/>
      <c r="F197" s="137"/>
      <c r="G197" s="51"/>
      <c r="H197" s="51"/>
      <c r="I197" s="51"/>
      <c r="J197" s="51"/>
    </row>
    <row r="198" spans="2:10" ht="12.75">
      <c r="B198" s="138" t="s">
        <v>79</v>
      </c>
      <c r="C198" s="139"/>
      <c r="D198" s="139"/>
      <c r="E198" s="31" t="e">
        <f>C168</f>
        <v>#DIV/0!</v>
      </c>
      <c r="F198" s="67" t="s">
        <v>26</v>
      </c>
      <c r="G198" s="44" t="e">
        <f>IF(AND(E198&lt;100,E198=C168),"&lt;----Note minimum swale length = 100 ft",IF(E198=C168,"","&lt;----Swale length was manually changed"))</f>
        <v>#DIV/0!</v>
      </c>
      <c r="H198" s="44"/>
      <c r="I198" s="51"/>
      <c r="J198" s="51"/>
    </row>
    <row r="199" spans="2:10" ht="12.75" customHeight="1">
      <c r="B199" s="111" t="s">
        <v>80</v>
      </c>
      <c r="C199" s="112"/>
      <c r="D199" s="112"/>
      <c r="E199" s="68">
        <f>D94</f>
        <v>0</v>
      </c>
      <c r="F199" s="69" t="s">
        <v>26</v>
      </c>
      <c r="G199" s="44" t="str">
        <f>IF(E199&lt;2,"&lt;----NOTE MINIMUM SWALE BOTTOM WIDTH = 2 FT","")</f>
        <v>&lt;----NOTE MINIMUM SWALE BOTTOM WIDTH = 2 FT</v>
      </c>
      <c r="H199" s="61"/>
      <c r="I199" s="61"/>
      <c r="J199" s="61"/>
    </row>
    <row r="200" spans="2:10" ht="12.75" customHeight="1">
      <c r="B200" s="125" t="s">
        <v>93</v>
      </c>
      <c r="C200" s="126"/>
      <c r="D200" s="127"/>
      <c r="E200" s="70">
        <f>D92</f>
        <v>0</v>
      </c>
      <c r="F200" s="69" t="s">
        <v>25</v>
      </c>
      <c r="G200" s="83" t="str">
        <f>IF(E200&lt;0.015,"&lt;--See HRM Table 4-5 for minimum longitudinal slope",IF(E200&gt;0.05,"See Note 1 of HRM Table 5-4.",""))</f>
        <v>&lt;--See HRM Table 4-5 for minimum longitudinal slope</v>
      </c>
      <c r="H200" s="61"/>
      <c r="I200" s="61"/>
      <c r="J200" s="61"/>
    </row>
    <row r="201" spans="2:10" ht="18">
      <c r="B201" s="128" t="s">
        <v>81</v>
      </c>
      <c r="C201" s="129"/>
      <c r="D201" s="129"/>
      <c r="E201" s="68">
        <f>C188</f>
        <v>0</v>
      </c>
      <c r="F201" s="71"/>
      <c r="G201" s="61"/>
      <c r="H201" s="61"/>
      <c r="I201" s="61"/>
      <c r="J201" s="61"/>
    </row>
    <row r="202" spans="2:10" ht="18">
      <c r="B202" s="128" t="s">
        <v>82</v>
      </c>
      <c r="C202" s="129"/>
      <c r="D202" s="129"/>
      <c r="E202" s="68">
        <f>C189</f>
        <v>0</v>
      </c>
      <c r="F202" s="71"/>
      <c r="G202" s="61"/>
      <c r="H202" s="61"/>
      <c r="I202" s="61"/>
      <c r="J202" s="61"/>
    </row>
    <row r="203" spans="2:6" ht="12.75">
      <c r="B203" s="111" t="s">
        <v>83</v>
      </c>
      <c r="C203" s="112"/>
      <c r="D203" s="112"/>
      <c r="E203" s="72">
        <f>D97</f>
        <v>0</v>
      </c>
      <c r="F203" s="69" t="s">
        <v>26</v>
      </c>
    </row>
    <row r="204" spans="2:6" ht="13.5" thickBot="1">
      <c r="B204" s="130" t="str">
        <f>IF(E20="online","Swale Depth (includes 1 ft Freeboard)","Swale Depth = WQ Depth for offline swales")</f>
        <v>Swale Depth (includes 1 ft Freeboard)</v>
      </c>
      <c r="C204" s="131"/>
      <c r="D204" s="131"/>
      <c r="E204" s="32">
        <f>IF(E20="online",C194,E203)</f>
        <v>1</v>
      </c>
      <c r="F204" s="73" t="s">
        <v>26</v>
      </c>
    </row>
    <row r="205" ht="12.75">
      <c r="E205" s="41"/>
    </row>
  </sheetData>
  <sheetProtection password="8E70" sheet="1"/>
  <mergeCells count="19">
    <mergeCell ref="B200:D200"/>
    <mergeCell ref="B201:D201"/>
    <mergeCell ref="B202:D202"/>
    <mergeCell ref="B203:D203"/>
    <mergeCell ref="B204:D204"/>
    <mergeCell ref="D177:I179"/>
    <mergeCell ref="D191:H193"/>
    <mergeCell ref="D194:K195"/>
    <mergeCell ref="B197:F197"/>
    <mergeCell ref="B198:D198"/>
    <mergeCell ref="B199:D199"/>
    <mergeCell ref="D17:G17"/>
    <mergeCell ref="D29:J29"/>
    <mergeCell ref="B37:H38"/>
    <mergeCell ref="D59:H61"/>
    <mergeCell ref="C28:J28"/>
    <mergeCell ref="D79:H81"/>
    <mergeCell ref="E102:I103"/>
    <mergeCell ref="B99:J100"/>
  </mergeCells>
  <conditionalFormatting sqref="B175:F175">
    <cfRule type="expression" priority="1" dxfId="0" stopIfTrue="1">
      <formula>$E$20="offline"</formula>
    </cfRule>
  </conditionalFormatting>
  <dataValidations count="4">
    <dataValidation type="list" allowBlank="1" showInputMessage="1" showErrorMessage="1" sqref="E20">
      <formula1>"online"</formula1>
    </dataValidation>
    <dataValidation type="list" allowBlank="1" showInputMessage="1" showErrorMessage="1" sqref="C28">
      <formula1>SoilCover</formula1>
    </dataValidation>
    <dataValidation type="list" allowBlank="1" showInputMessage="1" showErrorMessage="1" sqref="E15:E16 C173">
      <formula1>"Yes,No"</formula1>
    </dataValidation>
    <dataValidation type="list" allowBlank="1" showInputMessage="1" showErrorMessage="1" sqref="D17:G17">
      <formula1>"N/A,6-month 24 hr precip depth (in),2-year 24 hr precip depth (in)"</formula1>
    </dataValidation>
  </dataValidations>
  <printOptions horizontalCentered="1"/>
  <pageMargins left="0.25" right="0.25" top="0.25" bottom="0.75" header="0.25" footer="0.5"/>
  <pageSetup fitToHeight="2" fitToWidth="1" horizontalDpi="600" verticalDpi="600" orientation="portrait" scale="53" r:id="rId4"/>
  <headerFooter alignWithMargins="0">
    <oddFooter>&amp;L&amp;F&amp;R&amp;D &amp;T   Version 2.1</oddFooter>
  </headerFooter>
  <legacyDrawing r:id="rId3"/>
  <oleObjects>
    <oleObject progId="Equation.3" shapeId="8414022" r:id="rId1"/>
    <oleObject progId="Equation.3" shapeId="8414023" r:id="rId2"/>
  </oleObjects>
</worksheet>
</file>

<file path=xl/worksheets/sheet3.xml><?xml version="1.0" encoding="utf-8"?>
<worksheet xmlns="http://schemas.openxmlformats.org/spreadsheetml/2006/main" xmlns:r="http://schemas.openxmlformats.org/officeDocument/2006/relationships">
  <dimension ref="A1:I46"/>
  <sheetViews>
    <sheetView zoomScalePageLayoutView="0" workbookViewId="0" topLeftCell="A1">
      <selection activeCell="G25" sqref="G25"/>
    </sheetView>
  </sheetViews>
  <sheetFormatPr defaultColWidth="9.140625" defaultRowHeight="12.75"/>
  <sheetData>
    <row r="1" spans="1:2" ht="15">
      <c r="A1" s="1" t="s">
        <v>179</v>
      </c>
      <c r="B1" s="87"/>
    </row>
    <row r="2" ht="12.75">
      <c r="B2" s="87"/>
    </row>
    <row r="3" spans="1:3" ht="15">
      <c r="A3" t="s">
        <v>180</v>
      </c>
      <c r="B3" s="93">
        <f>ContinuousInflowBioswale_Tmpt!C105</f>
        <v>0</v>
      </c>
      <c r="C3" t="str">
        <f>IF(ContinuousInflowBioswale_Tmpt!E15="YES","Qwq from SBUH","Qwq determined from MGSFlood as per HRM")</f>
        <v>Qwq determined from MGSFlood as per HRM</v>
      </c>
    </row>
    <row r="4" spans="1:3" ht="12.75">
      <c r="A4">
        <f>IF(OR(ContinuousInflowBioswale_Tmpt!E15="YES",ContinuousInflowBioswale_Tmpt!E15=""),"","k**")</f>
      </c>
      <c r="B4" s="92">
        <f>IF(OR(ContinuousInflowBioswale_Tmpt!E15="YES",ContinuousInflowBioswale_Tmpt!E15=""),"",IF(ContinuousInflowBioswale_Tmpt!D17="2-year 24 hr precip depth (in)",(1.41*ContinuousInflowBioswale_Tmpt!C17*0.72)-0.052,(1.41*ContinuousInflowBioswale_Tmpt!C17)-0.052))</f>
      </c>
      <c r="C4">
        <f>IF(OR(ContinuousInflowBioswale_Tmpt!E15="YES",ContinuousInflowBioswale_Tmpt!E15=""),"",IF(ContinuousInflowBioswale_Tmpt!D17="2-yr 24 hr precip depth (in)","k=1.41(P72%, 2-yr)-0.052","k=1"))</f>
      </c>
    </row>
    <row r="5" spans="1:3" ht="15">
      <c r="A5" t="s">
        <v>144</v>
      </c>
      <c r="B5" s="92">
        <f>IF(OR(ContinuousInflowBioswale_Tmpt!E15="YES",ContinuousInflowBioswale_Tmpt!E15=""),B3,B4*B3)</f>
        <v>0</v>
      </c>
      <c r="C5" t="s">
        <v>181</v>
      </c>
    </row>
    <row r="6" ht="12.75">
      <c r="B6" s="87"/>
    </row>
    <row r="7" spans="1:9" ht="12.75" customHeight="1">
      <c r="A7" s="140"/>
      <c r="B7" s="140"/>
      <c r="C7" s="140"/>
      <c r="D7" s="140"/>
      <c r="E7" s="140"/>
      <c r="F7" s="140"/>
      <c r="G7" s="140"/>
      <c r="H7" s="140"/>
      <c r="I7" s="140"/>
    </row>
    <row r="8" spans="1:9" ht="12.75">
      <c r="A8" s="140"/>
      <c r="B8" s="140"/>
      <c r="C8" s="140"/>
      <c r="D8" s="140"/>
      <c r="E8" s="140"/>
      <c r="F8" s="140"/>
      <c r="G8" s="140"/>
      <c r="H8" s="140"/>
      <c r="I8" s="140"/>
    </row>
    <row r="9" ht="12.75">
      <c r="B9" s="87"/>
    </row>
    <row r="10" spans="1:2" ht="15">
      <c r="A10" s="1" t="s">
        <v>182</v>
      </c>
      <c r="B10" s="87"/>
    </row>
    <row r="11" spans="1:2" ht="12.75">
      <c r="A11" t="s">
        <v>201</v>
      </c>
      <c r="B11" s="87"/>
    </row>
    <row r="12" ht="12.75">
      <c r="B12" s="87"/>
    </row>
    <row r="13" ht="12.75">
      <c r="B13" s="87"/>
    </row>
    <row r="14" ht="12.75">
      <c r="B14" s="87"/>
    </row>
    <row r="15" ht="12.75">
      <c r="B15" s="87"/>
    </row>
    <row r="16" ht="12.75">
      <c r="B16" s="87"/>
    </row>
    <row r="17" spans="1:3" ht="15">
      <c r="A17" t="s">
        <v>144</v>
      </c>
      <c r="B17" s="87">
        <f>B5</f>
        <v>0</v>
      </c>
      <c r="C17" t="s">
        <v>181</v>
      </c>
    </row>
    <row r="18" spans="1:9" ht="12.75">
      <c r="A18" t="s">
        <v>8</v>
      </c>
      <c r="B18" s="81">
        <v>0.35</v>
      </c>
      <c r="C18" s="141" t="s">
        <v>183</v>
      </c>
      <c r="D18" s="141"/>
      <c r="E18" s="141"/>
      <c r="F18" s="141"/>
      <c r="G18" s="141"/>
      <c r="H18" s="141"/>
      <c r="I18" s="141"/>
    </row>
    <row r="19" spans="1:9" ht="12.75">
      <c r="A19" t="s">
        <v>2</v>
      </c>
      <c r="B19" s="89">
        <f>ContinuousInflowBioswale_Tmpt!C102</f>
        <v>0</v>
      </c>
      <c r="C19" s="140" t="s">
        <v>184</v>
      </c>
      <c r="D19" s="140"/>
      <c r="E19" s="140"/>
      <c r="F19" s="140"/>
      <c r="G19" s="140"/>
      <c r="H19" s="140"/>
      <c r="I19" s="140"/>
    </row>
    <row r="20" spans="2:9" ht="12.75">
      <c r="B20" s="89"/>
      <c r="C20" s="140"/>
      <c r="D20" s="140"/>
      <c r="E20" s="140"/>
      <c r="F20" s="140"/>
      <c r="G20" s="140"/>
      <c r="H20" s="140"/>
      <c r="I20" s="140"/>
    </row>
    <row r="21" spans="1:3" ht="15">
      <c r="A21" t="s">
        <v>116</v>
      </c>
      <c r="B21" s="89">
        <f>ContinuousInflowBioswale_Tmpt!C106</f>
        <v>0</v>
      </c>
      <c r="C21" t="s">
        <v>117</v>
      </c>
    </row>
    <row r="22" spans="1:3" ht="15">
      <c r="A22" s="2" t="s">
        <v>185</v>
      </c>
      <c r="B22" s="89" t="e">
        <f>1/ContinuousInflowBioswale_Tmpt!D95</f>
        <v>#DIV/0!</v>
      </c>
      <c r="C22" t="s">
        <v>199</v>
      </c>
    </row>
    <row r="23" ht="12.75">
      <c r="B23" s="87"/>
    </row>
    <row r="24" spans="1:2" ht="12.75">
      <c r="A24" t="s">
        <v>200</v>
      </c>
      <c r="B24" s="87"/>
    </row>
    <row r="25" ht="12.75">
      <c r="B25" s="87"/>
    </row>
    <row r="26" ht="12.75">
      <c r="B26" s="87"/>
    </row>
    <row r="27" ht="12.75">
      <c r="B27" s="87"/>
    </row>
    <row r="28" ht="12.75">
      <c r="B28" s="87"/>
    </row>
    <row r="29" ht="12.75">
      <c r="B29" s="87"/>
    </row>
    <row r="30" ht="12.75">
      <c r="B30" s="87"/>
    </row>
    <row r="31" ht="12.75">
      <c r="B31" s="87"/>
    </row>
    <row r="32" spans="1:3" ht="15">
      <c r="A32" t="s">
        <v>186</v>
      </c>
      <c r="B32" s="87" t="e">
        <f>((B18*B17)/(1.49*B21*(B22^0.5)))^(3/5)</f>
        <v>#DIV/0!</v>
      </c>
      <c r="C32" t="s">
        <v>187</v>
      </c>
    </row>
    <row r="33" ht="12.75">
      <c r="B33" s="87"/>
    </row>
    <row r="34" spans="1:2" ht="12.75">
      <c r="A34" s="1" t="s">
        <v>188</v>
      </c>
      <c r="B34" s="87"/>
    </row>
    <row r="35" ht="12.75">
      <c r="B35" s="88" t="s">
        <v>189</v>
      </c>
    </row>
    <row r="36" ht="12.75">
      <c r="B36" s="87"/>
    </row>
    <row r="37" ht="12.75">
      <c r="B37" s="87"/>
    </row>
    <row r="38" ht="12.75">
      <c r="B38" s="87"/>
    </row>
    <row r="39" ht="12.75">
      <c r="B39" s="87"/>
    </row>
    <row r="40" spans="1:3" ht="15">
      <c r="A40" t="s">
        <v>144</v>
      </c>
      <c r="B40" s="87">
        <f>B17</f>
        <v>0</v>
      </c>
      <c r="C40" t="s">
        <v>181</v>
      </c>
    </row>
    <row r="41" spans="1:3" ht="15">
      <c r="A41" t="s">
        <v>116</v>
      </c>
      <c r="B41" s="87">
        <f>B21</f>
        <v>0</v>
      </c>
      <c r="C41" t="s">
        <v>117</v>
      </c>
    </row>
    <row r="42" spans="1:3" ht="15">
      <c r="A42" t="s">
        <v>186</v>
      </c>
      <c r="B42" s="87" t="e">
        <f>B32</f>
        <v>#DIV/0!</v>
      </c>
      <c r="C42" t="s">
        <v>187</v>
      </c>
    </row>
    <row r="43" spans="1:3" ht="15">
      <c r="A43" t="s">
        <v>190</v>
      </c>
      <c r="B43" s="87" t="e">
        <f>B40/(B41*B42)</f>
        <v>#DIV/0!</v>
      </c>
      <c r="C43" t="s">
        <v>191</v>
      </c>
    </row>
    <row r="45" ht="15">
      <c r="A45" s="1" t="s">
        <v>192</v>
      </c>
    </row>
    <row r="46" spans="1:3" ht="15">
      <c r="A46" t="s">
        <v>145</v>
      </c>
      <c r="B46" t="e">
        <f>B41/B43</f>
        <v>#DIV/0!</v>
      </c>
      <c r="C46" t="s">
        <v>193</v>
      </c>
    </row>
  </sheetData>
  <sheetProtection password="8E70" sheet="1"/>
  <mergeCells count="3">
    <mergeCell ref="A7:I8"/>
    <mergeCell ref="C18:I18"/>
    <mergeCell ref="C19:I20"/>
  </mergeCells>
  <dataValidations count="1">
    <dataValidation type="list" allowBlank="1" showInputMessage="1" showErrorMessage="1" sqref="B18">
      <formula1>"0.2,0.35,0.40,0.55"</formula1>
    </dataValidation>
  </dataValidations>
  <printOptions horizontalCentered="1" verticalCentered="1"/>
  <pageMargins left="0.75" right="0.75" top="0.75" bottom="0.75" header="0.5" footer="0.5"/>
  <pageSetup horizontalDpi="600" verticalDpi="600" orientation="portrait" r:id="rId5"/>
  <headerFooter alignWithMargins="0">
    <oddFooter>&amp;L&amp;F&amp;R&amp;D  &amp;T  Version 2.1</oddFooter>
  </headerFooter>
  <legacyDrawing r:id="rId4"/>
  <oleObjects>
    <oleObject progId="Equation.3" shapeId="3308370" r:id="rId1"/>
    <oleObject progId="Equation.3" shapeId="3308371" r:id="rId2"/>
    <oleObject progId="Equation.3" shapeId="3308372" r:id="rId3"/>
  </oleObjects>
</worksheet>
</file>

<file path=xl/worksheets/sheet4.xml><?xml version="1.0" encoding="utf-8"?>
<worksheet xmlns="http://schemas.openxmlformats.org/spreadsheetml/2006/main" xmlns:r="http://schemas.openxmlformats.org/officeDocument/2006/relationships">
  <dimension ref="A1:I46"/>
  <sheetViews>
    <sheetView zoomScalePageLayoutView="0" workbookViewId="0" topLeftCell="A1">
      <selection activeCell="G25" sqref="G25"/>
    </sheetView>
  </sheetViews>
  <sheetFormatPr defaultColWidth="9.140625" defaultRowHeight="12.75"/>
  <sheetData>
    <row r="1" spans="1:2" ht="15">
      <c r="A1" s="1" t="s">
        <v>179</v>
      </c>
      <c r="B1" s="87"/>
    </row>
    <row r="2" ht="12.75">
      <c r="B2" s="87"/>
    </row>
    <row r="3" spans="1:3" ht="15">
      <c r="A3" t="s">
        <v>180</v>
      </c>
      <c r="B3" s="93">
        <f>ContinuousInflowBioswale_Tmpt!C109</f>
        <v>0</v>
      </c>
      <c r="C3" t="str">
        <f>IF(ContinuousInflowBioswale_Tmpt!E15="YES","Qwq from SBUH","Qwq determined from MGSFlood as per HRM")</f>
        <v>Qwq determined from MGSFlood as per HRM</v>
      </c>
    </row>
    <row r="4" spans="1:3" ht="12.75">
      <c r="A4">
        <f>IF(OR(ContinuousInflowBioswale_Tmpt!E15="YES",ContinuousInflowBioswale_Tmpt!E15=""),"","k**")</f>
      </c>
      <c r="B4" s="92">
        <f>IF(OR(ContinuousInflowBioswale_Tmpt!E15="YES",ContinuousInflowBioswale_Tmpt!E15=""),"",IF(ContinuousInflowBioswale_Tmpt!D17="2-year 24 hr precip depth (in)",(1.41*ContinuousInflowBioswale_Tmpt!C17*0.72)-0.052,(1.41*ContinuousInflowBioswale_Tmpt!C17)-0.052))</f>
      </c>
      <c r="C4">
        <f>IF(OR(ContinuousInflowBioswale_Tmpt!E15="YES",ContinuousInflowBioswale_Tmpt!E15=""),"",IF(ContinuousInflowBioswale_Tmpt!D17="2-yr 24 hr precip depth (in)","k=1.41(P72%, 2-yr)-0.052","k=1"))</f>
      </c>
    </row>
    <row r="5" spans="1:3" ht="15">
      <c r="A5" t="s">
        <v>144</v>
      </c>
      <c r="B5" s="92">
        <f>IF(OR(ContinuousInflowBioswale_Tmpt!E15="YES",ContinuousInflowBioswale_Tmpt!E15=""),B3,B4*B3)</f>
        <v>0</v>
      </c>
      <c r="C5" t="s">
        <v>181</v>
      </c>
    </row>
    <row r="6" ht="12.75">
      <c r="B6" s="87"/>
    </row>
    <row r="7" spans="1:9" ht="12.75" customHeight="1">
      <c r="A7" s="140"/>
      <c r="B7" s="140"/>
      <c r="C7" s="140"/>
      <c r="D7" s="140"/>
      <c r="E7" s="140"/>
      <c r="F7" s="140"/>
      <c r="G7" s="140"/>
      <c r="H7" s="140"/>
      <c r="I7" s="140"/>
    </row>
    <row r="8" spans="1:9" ht="12.75">
      <c r="A8" s="140"/>
      <c r="B8" s="140"/>
      <c r="C8" s="140"/>
      <c r="D8" s="140"/>
      <c r="E8" s="140"/>
      <c r="F8" s="140"/>
      <c r="G8" s="140"/>
      <c r="H8" s="140"/>
      <c r="I8" s="140"/>
    </row>
    <row r="9" ht="12.75">
      <c r="B9" s="87"/>
    </row>
    <row r="10" spans="1:2" ht="15">
      <c r="A10" s="1" t="s">
        <v>182</v>
      </c>
      <c r="B10" s="87"/>
    </row>
    <row r="11" spans="1:2" ht="12.75">
      <c r="A11" t="s">
        <v>201</v>
      </c>
      <c r="B11" s="87"/>
    </row>
    <row r="12" ht="12.75">
      <c r="B12" s="87"/>
    </row>
    <row r="13" ht="12.75">
      <c r="B13" s="87"/>
    </row>
    <row r="14" ht="12.75">
      <c r="B14" s="87"/>
    </row>
    <row r="15" ht="12.75">
      <c r="B15" s="87"/>
    </row>
    <row r="16" ht="12.75">
      <c r="B16" s="87"/>
    </row>
    <row r="17" spans="1:3" ht="15">
      <c r="A17" t="s">
        <v>144</v>
      </c>
      <c r="B17" s="87">
        <f>B5</f>
        <v>0</v>
      </c>
      <c r="C17" t="s">
        <v>181</v>
      </c>
    </row>
    <row r="18" spans="1:9" ht="12.75">
      <c r="A18" t="s">
        <v>8</v>
      </c>
      <c r="B18" s="81">
        <v>0.35</v>
      </c>
      <c r="C18" s="141" t="s">
        <v>183</v>
      </c>
      <c r="D18" s="141"/>
      <c r="E18" s="141"/>
      <c r="F18" s="141"/>
      <c r="G18" s="141"/>
      <c r="H18" s="141"/>
      <c r="I18" s="141"/>
    </row>
    <row r="19" spans="1:9" ht="12.75">
      <c r="A19" t="s">
        <v>2</v>
      </c>
      <c r="B19" s="89">
        <f>ContinuousInflowBioswale_Tmpt!C102</f>
        <v>0</v>
      </c>
      <c r="C19" s="140" t="s">
        <v>184</v>
      </c>
      <c r="D19" s="140"/>
      <c r="E19" s="140"/>
      <c r="F19" s="140"/>
      <c r="G19" s="140"/>
      <c r="H19" s="140"/>
      <c r="I19" s="140"/>
    </row>
    <row r="20" spans="2:9" ht="12.75">
      <c r="B20" s="89"/>
      <c r="C20" s="140"/>
      <c r="D20" s="140"/>
      <c r="E20" s="140"/>
      <c r="F20" s="140"/>
      <c r="G20" s="140"/>
      <c r="H20" s="140"/>
      <c r="I20" s="140"/>
    </row>
    <row r="21" spans="1:3" ht="15">
      <c r="A21" t="s">
        <v>116</v>
      </c>
      <c r="B21" s="89">
        <f>ContinuousInflowBioswale_Tmpt!C110</f>
        <v>0</v>
      </c>
      <c r="C21" t="s">
        <v>117</v>
      </c>
    </row>
    <row r="22" spans="1:3" ht="15">
      <c r="A22" s="2" t="s">
        <v>185</v>
      </c>
      <c r="B22" s="89" t="e">
        <f>1/ContinuousInflowBioswale_Tmpt!D95</f>
        <v>#DIV/0!</v>
      </c>
      <c r="C22" t="s">
        <v>199</v>
      </c>
    </row>
    <row r="23" ht="12.75">
      <c r="B23" s="87"/>
    </row>
    <row r="24" spans="1:2" ht="12.75">
      <c r="A24" t="s">
        <v>200</v>
      </c>
      <c r="B24" s="87"/>
    </row>
    <row r="25" ht="12.75">
      <c r="B25" s="87"/>
    </row>
    <row r="26" ht="12.75">
      <c r="B26" s="87"/>
    </row>
    <row r="27" ht="12.75">
      <c r="B27" s="87"/>
    </row>
    <row r="28" ht="12.75">
      <c r="B28" s="87"/>
    </row>
    <row r="29" ht="12.75">
      <c r="B29" s="87"/>
    </row>
    <row r="30" ht="12.75">
      <c r="B30" s="87"/>
    </row>
    <row r="31" ht="12.75">
      <c r="B31" s="87"/>
    </row>
    <row r="32" spans="1:3" ht="15">
      <c r="A32" t="s">
        <v>186</v>
      </c>
      <c r="B32" s="87" t="e">
        <f>((B18*B17)/(1.49*B21*(B22^0.5)))^(3/5)</f>
        <v>#DIV/0!</v>
      </c>
      <c r="C32" t="s">
        <v>187</v>
      </c>
    </row>
    <row r="33" ht="12.75">
      <c r="B33" s="87"/>
    </row>
    <row r="34" spans="1:2" ht="12.75">
      <c r="A34" s="1" t="s">
        <v>188</v>
      </c>
      <c r="B34" s="87"/>
    </row>
    <row r="35" ht="12.75">
      <c r="B35" s="88" t="s">
        <v>189</v>
      </c>
    </row>
    <row r="36" ht="12.75">
      <c r="B36" s="87"/>
    </row>
    <row r="37" ht="12.75">
      <c r="B37" s="87"/>
    </row>
    <row r="38" ht="12.75">
      <c r="B38" s="87"/>
    </row>
    <row r="39" ht="12.75">
      <c r="B39" s="87"/>
    </row>
    <row r="40" spans="1:3" ht="15">
      <c r="A40" t="s">
        <v>144</v>
      </c>
      <c r="B40" s="87">
        <f>B17</f>
        <v>0</v>
      </c>
      <c r="C40" t="s">
        <v>181</v>
      </c>
    </row>
    <row r="41" spans="1:3" ht="15">
      <c r="A41" t="s">
        <v>116</v>
      </c>
      <c r="B41" s="87">
        <f>B21</f>
        <v>0</v>
      </c>
      <c r="C41" t="s">
        <v>117</v>
      </c>
    </row>
    <row r="42" spans="1:3" ht="15">
      <c r="A42" t="s">
        <v>186</v>
      </c>
      <c r="B42" s="87" t="e">
        <f>B32</f>
        <v>#DIV/0!</v>
      </c>
      <c r="C42" t="s">
        <v>187</v>
      </c>
    </row>
    <row r="43" spans="1:3" ht="15">
      <c r="A43" t="s">
        <v>190</v>
      </c>
      <c r="B43" s="87" t="e">
        <f>B40/(B41*B42)</f>
        <v>#DIV/0!</v>
      </c>
      <c r="C43" t="s">
        <v>191</v>
      </c>
    </row>
    <row r="45" ht="15">
      <c r="A45" s="1" t="s">
        <v>192</v>
      </c>
    </row>
    <row r="46" spans="1:3" ht="15">
      <c r="A46" t="s">
        <v>145</v>
      </c>
      <c r="B46" t="e">
        <f>B41/B43</f>
        <v>#DIV/0!</v>
      </c>
      <c r="C46" t="s">
        <v>193</v>
      </c>
    </row>
  </sheetData>
  <sheetProtection password="8E70" sheet="1"/>
  <mergeCells count="3">
    <mergeCell ref="A7:I8"/>
    <mergeCell ref="C18:I18"/>
    <mergeCell ref="C19:I20"/>
  </mergeCells>
  <dataValidations count="1">
    <dataValidation type="list" allowBlank="1" showInputMessage="1" showErrorMessage="1" sqref="B18">
      <formula1>"0.2,0.35,0.40,0.55"</formula1>
    </dataValidation>
  </dataValidations>
  <printOptions horizontalCentered="1" verticalCentered="1"/>
  <pageMargins left="0.75" right="0.75" top="0.75" bottom="0.75" header="0.5" footer="0.5"/>
  <pageSetup horizontalDpi="600" verticalDpi="600" orientation="portrait" r:id="rId5"/>
  <headerFooter alignWithMargins="0">
    <oddFooter>&amp;L&amp;F&amp;R&amp;D  &amp;T  Version 2.1</oddFooter>
  </headerFooter>
  <legacyDrawing r:id="rId4"/>
  <oleObjects>
    <oleObject progId="Equation.3" shapeId="3143807" r:id="rId1"/>
    <oleObject progId="Equation.3" shapeId="3143808" r:id="rId2"/>
    <oleObject progId="Equation.3" shapeId="3143809" r:id="rId3"/>
  </oleObjects>
</worksheet>
</file>

<file path=xl/worksheets/sheet5.xml><?xml version="1.0" encoding="utf-8"?>
<worksheet xmlns="http://schemas.openxmlformats.org/spreadsheetml/2006/main" xmlns:r="http://schemas.openxmlformats.org/officeDocument/2006/relationships">
  <dimension ref="A1:I46"/>
  <sheetViews>
    <sheetView zoomScalePageLayoutView="0" workbookViewId="0" topLeftCell="A1">
      <selection activeCell="G25" sqref="G25"/>
    </sheetView>
  </sheetViews>
  <sheetFormatPr defaultColWidth="9.140625" defaultRowHeight="12.75"/>
  <sheetData>
    <row r="1" spans="1:2" ht="15">
      <c r="A1" s="1" t="s">
        <v>179</v>
      </c>
      <c r="B1" s="87"/>
    </row>
    <row r="2" ht="12.75">
      <c r="B2" s="87"/>
    </row>
    <row r="3" spans="1:3" ht="15">
      <c r="A3" t="s">
        <v>180</v>
      </c>
      <c r="B3" s="93">
        <f>ContinuousInflowBioswale_Tmpt!C113</f>
        <v>0</v>
      </c>
      <c r="C3" t="str">
        <f>IF(ContinuousInflowBioswale_Tmpt!E15="YES","Qwq from SBUH","Qwq determined from MGSFlood as per HRM")</f>
        <v>Qwq determined from MGSFlood as per HRM</v>
      </c>
    </row>
    <row r="4" spans="1:3" ht="12.75">
      <c r="A4">
        <f>IF(OR(ContinuousInflowBioswale_Tmpt!E15="YES",ContinuousInflowBioswale_Tmpt!E15=""),"","k**")</f>
      </c>
      <c r="B4" s="92">
        <f>IF(OR(ContinuousInflowBioswale_Tmpt!E15="YES",ContinuousInflowBioswale_Tmpt!E15=""),"",IF(ContinuousInflowBioswale_Tmpt!D17="2-year 24 hr precip depth (in)",(1.41*ContinuousInflowBioswale_Tmpt!C17*0.72)-0.052,(1.41*ContinuousInflowBioswale_Tmpt!C17)-0.052))</f>
      </c>
      <c r="C4">
        <f>IF(OR(ContinuousInflowBioswale_Tmpt!E15="YES",ContinuousInflowBioswale_Tmpt!E15=""),"",IF(ContinuousInflowBioswale_Tmpt!D17="2-yr 24 hr precip depth (in)","k=1.41(P72%, 2-yr)-0.052","k=1"))</f>
      </c>
    </row>
    <row r="5" spans="1:3" ht="15">
      <c r="A5" t="s">
        <v>144</v>
      </c>
      <c r="B5" s="92">
        <f>IF(OR(ContinuousInflowBioswale_Tmpt!E15="YES",ContinuousInflowBioswale_Tmpt!E15=""),B3,B4*B3)</f>
        <v>0</v>
      </c>
      <c r="C5" t="s">
        <v>181</v>
      </c>
    </row>
    <row r="6" ht="12.75">
      <c r="B6" s="87"/>
    </row>
    <row r="7" spans="1:9" ht="12.75" customHeight="1">
      <c r="A7" s="140"/>
      <c r="B7" s="140"/>
      <c r="C7" s="140"/>
      <c r="D7" s="140"/>
      <c r="E7" s="140"/>
      <c r="F7" s="140"/>
      <c r="G7" s="140"/>
      <c r="H7" s="140"/>
      <c r="I7" s="140"/>
    </row>
    <row r="8" spans="1:9" ht="12.75">
      <c r="A8" s="140"/>
      <c r="B8" s="140"/>
      <c r="C8" s="140"/>
      <c r="D8" s="140"/>
      <c r="E8" s="140"/>
      <c r="F8" s="140"/>
      <c r="G8" s="140"/>
      <c r="H8" s="140"/>
      <c r="I8" s="140"/>
    </row>
    <row r="9" ht="12.75">
      <c r="B9" s="87"/>
    </row>
    <row r="10" spans="1:2" ht="15">
      <c r="A10" s="1" t="s">
        <v>182</v>
      </c>
      <c r="B10" s="87"/>
    </row>
    <row r="11" spans="1:2" ht="12.75">
      <c r="A11" t="s">
        <v>201</v>
      </c>
      <c r="B11" s="87"/>
    </row>
    <row r="12" ht="12.75">
      <c r="B12" s="87"/>
    </row>
    <row r="13" ht="12.75">
      <c r="B13" s="87"/>
    </row>
    <row r="14" ht="12.75">
      <c r="B14" s="87"/>
    </row>
    <row r="15" ht="12.75">
      <c r="B15" s="87"/>
    </row>
    <row r="16" ht="12.75">
      <c r="B16" s="87"/>
    </row>
    <row r="17" spans="1:3" ht="15">
      <c r="A17" t="s">
        <v>144</v>
      </c>
      <c r="B17" s="87">
        <f>B5</f>
        <v>0</v>
      </c>
      <c r="C17" t="s">
        <v>181</v>
      </c>
    </row>
    <row r="18" spans="1:9" ht="12.75">
      <c r="A18" t="s">
        <v>8</v>
      </c>
      <c r="B18" s="81">
        <v>0.35</v>
      </c>
      <c r="C18" s="141" t="s">
        <v>183</v>
      </c>
      <c r="D18" s="141"/>
      <c r="E18" s="141"/>
      <c r="F18" s="141"/>
      <c r="G18" s="141"/>
      <c r="H18" s="141"/>
      <c r="I18" s="141"/>
    </row>
    <row r="19" spans="1:9" ht="12.75">
      <c r="A19" t="s">
        <v>2</v>
      </c>
      <c r="B19" s="89">
        <f>ContinuousInflowBioswale_Tmpt!C102</f>
        <v>0</v>
      </c>
      <c r="C19" s="140" t="s">
        <v>184</v>
      </c>
      <c r="D19" s="140"/>
      <c r="E19" s="140"/>
      <c r="F19" s="140"/>
      <c r="G19" s="140"/>
      <c r="H19" s="140"/>
      <c r="I19" s="140"/>
    </row>
    <row r="20" spans="2:9" ht="12.75">
      <c r="B20" s="89"/>
      <c r="C20" s="140"/>
      <c r="D20" s="140"/>
      <c r="E20" s="140"/>
      <c r="F20" s="140"/>
      <c r="G20" s="140"/>
      <c r="H20" s="140"/>
      <c r="I20" s="140"/>
    </row>
    <row r="21" spans="1:3" ht="15">
      <c r="A21" t="s">
        <v>116</v>
      </c>
      <c r="B21" s="89">
        <f>ContinuousInflowBioswale_Tmpt!C114</f>
        <v>0</v>
      </c>
      <c r="C21" t="s">
        <v>117</v>
      </c>
    </row>
    <row r="22" spans="1:3" ht="15">
      <c r="A22" s="2" t="s">
        <v>185</v>
      </c>
      <c r="B22" s="89" t="e">
        <f>1/ContinuousInflowBioswale_Tmpt!D95</f>
        <v>#DIV/0!</v>
      </c>
      <c r="C22" t="s">
        <v>199</v>
      </c>
    </row>
    <row r="23" ht="12.75">
      <c r="B23" s="87"/>
    </row>
    <row r="24" spans="1:2" ht="12.75">
      <c r="A24" t="s">
        <v>200</v>
      </c>
      <c r="B24" s="87"/>
    </row>
    <row r="25" ht="12.75">
      <c r="B25" s="87"/>
    </row>
    <row r="26" ht="12.75">
      <c r="B26" s="87"/>
    </row>
    <row r="27" ht="12.75">
      <c r="B27" s="87"/>
    </row>
    <row r="28" ht="12.75">
      <c r="B28" s="87"/>
    </row>
    <row r="29" ht="12.75">
      <c r="B29" s="87"/>
    </row>
    <row r="30" ht="12.75">
      <c r="B30" s="87"/>
    </row>
    <row r="31" ht="12.75">
      <c r="B31" s="87"/>
    </row>
    <row r="32" spans="1:3" ht="15">
      <c r="A32" t="s">
        <v>186</v>
      </c>
      <c r="B32" s="87" t="e">
        <f>((B18*B17)/(1.49*B21*(B22^0.5)))^(3/5)</f>
        <v>#DIV/0!</v>
      </c>
      <c r="C32" t="s">
        <v>187</v>
      </c>
    </row>
    <row r="33" ht="12.75">
      <c r="B33" s="87"/>
    </row>
    <row r="34" spans="1:2" ht="12.75">
      <c r="A34" s="1" t="s">
        <v>188</v>
      </c>
      <c r="B34" s="87"/>
    </row>
    <row r="35" ht="12.75">
      <c r="B35" s="88" t="s">
        <v>189</v>
      </c>
    </row>
    <row r="36" ht="12.75">
      <c r="B36" s="87"/>
    </row>
    <row r="37" ht="12.75">
      <c r="B37" s="87"/>
    </row>
    <row r="38" ht="12.75">
      <c r="B38" s="87"/>
    </row>
    <row r="39" ht="12.75">
      <c r="B39" s="87"/>
    </row>
    <row r="40" spans="1:3" ht="15">
      <c r="A40" t="s">
        <v>144</v>
      </c>
      <c r="B40" s="87">
        <f>B17</f>
        <v>0</v>
      </c>
      <c r="C40" t="s">
        <v>181</v>
      </c>
    </row>
    <row r="41" spans="1:3" ht="15">
      <c r="A41" t="s">
        <v>116</v>
      </c>
      <c r="B41" s="87">
        <f>B21</f>
        <v>0</v>
      </c>
      <c r="C41" t="s">
        <v>117</v>
      </c>
    </row>
    <row r="42" spans="1:3" ht="15">
      <c r="A42" t="s">
        <v>186</v>
      </c>
      <c r="B42" s="87" t="e">
        <f>B32</f>
        <v>#DIV/0!</v>
      </c>
      <c r="C42" t="s">
        <v>187</v>
      </c>
    </row>
    <row r="43" spans="1:3" ht="15">
      <c r="A43" t="s">
        <v>190</v>
      </c>
      <c r="B43" s="87" t="e">
        <f>B40/(B41*B42)</f>
        <v>#DIV/0!</v>
      </c>
      <c r="C43" t="s">
        <v>191</v>
      </c>
    </row>
    <row r="45" ht="15">
      <c r="A45" s="1" t="s">
        <v>192</v>
      </c>
    </row>
    <row r="46" spans="1:3" ht="15">
      <c r="A46" t="s">
        <v>145</v>
      </c>
      <c r="B46" t="e">
        <f>B41/B43</f>
        <v>#DIV/0!</v>
      </c>
      <c r="C46" t="s">
        <v>193</v>
      </c>
    </row>
  </sheetData>
  <sheetProtection password="8E70" sheet="1"/>
  <mergeCells count="3">
    <mergeCell ref="A7:I8"/>
    <mergeCell ref="C18:I18"/>
    <mergeCell ref="C19:I20"/>
  </mergeCells>
  <dataValidations count="1">
    <dataValidation type="list" allowBlank="1" showInputMessage="1" showErrorMessage="1" sqref="B18">
      <formula1>"0.2,0.35,0.40,0.55"</formula1>
    </dataValidation>
  </dataValidations>
  <printOptions horizontalCentered="1" verticalCentered="1"/>
  <pageMargins left="0.75" right="0.75" top="0.75" bottom="0.75" header="0.5" footer="0.5"/>
  <pageSetup horizontalDpi="600" verticalDpi="600" orientation="portrait" r:id="rId5"/>
  <headerFooter alignWithMargins="0">
    <oddFooter>&amp;L&amp;F&amp;R&amp;D  &amp;T  Version 2.1</oddFooter>
  </headerFooter>
  <legacyDrawing r:id="rId4"/>
  <oleObjects>
    <oleObject progId="Equation.3" shapeId="3143327" r:id="rId1"/>
    <oleObject progId="Equation.3" shapeId="3143328" r:id="rId2"/>
    <oleObject progId="Equation.3" shapeId="3143329" r:id="rId3"/>
  </oleObjects>
</worksheet>
</file>

<file path=xl/worksheets/sheet6.xml><?xml version="1.0" encoding="utf-8"?>
<worksheet xmlns="http://schemas.openxmlformats.org/spreadsheetml/2006/main" xmlns:r="http://schemas.openxmlformats.org/officeDocument/2006/relationships">
  <dimension ref="A1:I46"/>
  <sheetViews>
    <sheetView zoomScalePageLayoutView="0" workbookViewId="0" topLeftCell="A1">
      <selection activeCell="G25" sqref="G25"/>
    </sheetView>
  </sheetViews>
  <sheetFormatPr defaultColWidth="9.140625" defaultRowHeight="12.75"/>
  <sheetData>
    <row r="1" spans="1:2" ht="15">
      <c r="A1" s="1" t="s">
        <v>179</v>
      </c>
      <c r="B1" s="87"/>
    </row>
    <row r="2" ht="12.75">
      <c r="B2" s="87"/>
    </row>
    <row r="3" spans="1:3" ht="15">
      <c r="A3" t="s">
        <v>180</v>
      </c>
      <c r="B3" s="93">
        <f>ContinuousInflowBioswale_Tmpt!C117</f>
        <v>0</v>
      </c>
      <c r="C3" t="str">
        <f>IF(ContinuousInflowBioswale_Tmpt!E15="YES","Qwq from SBUH","Qwq determined from MGSFlood as per HRM")</f>
        <v>Qwq determined from MGSFlood as per HRM</v>
      </c>
    </row>
    <row r="4" spans="1:3" ht="12.75">
      <c r="A4">
        <f>IF(OR(ContinuousInflowBioswale_Tmpt!E15="YES",ContinuousInflowBioswale_Tmpt!E15=""),"","k**")</f>
      </c>
      <c r="B4" s="92">
        <f>IF(OR(ContinuousInflowBioswale_Tmpt!E15="YES",ContinuousInflowBioswale_Tmpt!E15=""),"",IF(ContinuousInflowBioswale_Tmpt!D17="2-year 24 hr precip depth (in)",(1.41*ContinuousInflowBioswale_Tmpt!C17*0.72)-0.052,(1.41*ContinuousInflowBioswale_Tmpt!C17)-0.052))</f>
      </c>
      <c r="C4">
        <f>IF(OR(ContinuousInflowBioswale_Tmpt!E15="YES",ContinuousInflowBioswale_Tmpt!E15=""),"",IF(ContinuousInflowBioswale_Tmpt!D17="2-yr 24 hr precip depth (in)","k=1.41(P72%, 2-yr)-0.052","k=1"))</f>
      </c>
    </row>
    <row r="5" spans="1:3" ht="15">
      <c r="A5" t="s">
        <v>144</v>
      </c>
      <c r="B5" s="92">
        <f>IF(OR(ContinuousInflowBioswale_Tmpt!E15="YES",ContinuousInflowBioswale_Tmpt!E15=""),B3,B4*B3)</f>
        <v>0</v>
      </c>
      <c r="C5" t="s">
        <v>181</v>
      </c>
    </row>
    <row r="6" ht="12.75">
      <c r="B6" s="87"/>
    </row>
    <row r="7" spans="1:9" ht="12.75" customHeight="1">
      <c r="A7" s="140"/>
      <c r="B7" s="140"/>
      <c r="C7" s="140"/>
      <c r="D7" s="140"/>
      <c r="E7" s="140"/>
      <c r="F7" s="140"/>
      <c r="G7" s="140"/>
      <c r="H7" s="140"/>
      <c r="I7" s="140"/>
    </row>
    <row r="8" spans="1:9" ht="12.75">
      <c r="A8" s="140"/>
      <c r="B8" s="140"/>
      <c r="C8" s="140"/>
      <c r="D8" s="140"/>
      <c r="E8" s="140"/>
      <c r="F8" s="140"/>
      <c r="G8" s="140"/>
      <c r="H8" s="140"/>
      <c r="I8" s="140"/>
    </row>
    <row r="9" ht="12.75">
      <c r="B9" s="87"/>
    </row>
    <row r="10" spans="1:2" ht="15">
      <c r="A10" s="1" t="s">
        <v>182</v>
      </c>
      <c r="B10" s="87"/>
    </row>
    <row r="11" spans="1:2" ht="12.75">
      <c r="A11" t="s">
        <v>201</v>
      </c>
      <c r="B11" s="87"/>
    </row>
    <row r="12" ht="12.75">
      <c r="B12" s="87"/>
    </row>
    <row r="13" ht="12.75">
      <c r="B13" s="87"/>
    </row>
    <row r="14" ht="12.75">
      <c r="B14" s="87"/>
    </row>
    <row r="15" ht="12.75">
      <c r="B15" s="87"/>
    </row>
    <row r="16" ht="12.75">
      <c r="B16" s="87"/>
    </row>
    <row r="17" spans="1:3" ht="15">
      <c r="A17" t="s">
        <v>144</v>
      </c>
      <c r="B17" s="87">
        <f>B5</f>
        <v>0</v>
      </c>
      <c r="C17" t="s">
        <v>181</v>
      </c>
    </row>
    <row r="18" spans="1:9" ht="12.75">
      <c r="A18" t="s">
        <v>8</v>
      </c>
      <c r="B18" s="81">
        <v>0.35</v>
      </c>
      <c r="C18" s="141" t="s">
        <v>183</v>
      </c>
      <c r="D18" s="141"/>
      <c r="E18" s="141"/>
      <c r="F18" s="141"/>
      <c r="G18" s="141"/>
      <c r="H18" s="141"/>
      <c r="I18" s="141"/>
    </row>
    <row r="19" spans="1:9" ht="12.75">
      <c r="A19" t="s">
        <v>2</v>
      </c>
      <c r="B19" s="89">
        <f>ContinuousInflowBioswale_Tmpt!C102</f>
        <v>0</v>
      </c>
      <c r="C19" s="140" t="s">
        <v>184</v>
      </c>
      <c r="D19" s="140"/>
      <c r="E19" s="140"/>
      <c r="F19" s="140"/>
      <c r="G19" s="140"/>
      <c r="H19" s="140"/>
      <c r="I19" s="140"/>
    </row>
    <row r="20" spans="2:9" ht="12.75">
      <c r="B20" s="89"/>
      <c r="C20" s="140"/>
      <c r="D20" s="140"/>
      <c r="E20" s="140"/>
      <c r="F20" s="140"/>
      <c r="G20" s="140"/>
      <c r="H20" s="140"/>
      <c r="I20" s="140"/>
    </row>
    <row r="21" spans="1:3" ht="15">
      <c r="A21" t="s">
        <v>116</v>
      </c>
      <c r="B21" s="89">
        <f>ContinuousInflowBioswale_Tmpt!C118</f>
        <v>0</v>
      </c>
      <c r="C21" t="s">
        <v>117</v>
      </c>
    </row>
    <row r="22" spans="1:3" ht="15">
      <c r="A22" s="2" t="s">
        <v>185</v>
      </c>
      <c r="B22" s="89" t="e">
        <f>1/ContinuousInflowBioswale_Tmpt!D95</f>
        <v>#DIV/0!</v>
      </c>
      <c r="C22" t="s">
        <v>199</v>
      </c>
    </row>
    <row r="23" ht="12.75">
      <c r="B23" s="87"/>
    </row>
    <row r="24" spans="1:2" ht="12.75">
      <c r="A24" t="s">
        <v>200</v>
      </c>
      <c r="B24" s="87"/>
    </row>
    <row r="25" ht="12.75">
      <c r="B25" s="87"/>
    </row>
    <row r="26" ht="12.75">
      <c r="B26" s="87"/>
    </row>
    <row r="27" ht="12.75">
      <c r="B27" s="87"/>
    </row>
    <row r="28" ht="12.75">
      <c r="B28" s="87"/>
    </row>
    <row r="29" ht="12.75">
      <c r="B29" s="87"/>
    </row>
    <row r="30" ht="12.75">
      <c r="B30" s="87"/>
    </row>
    <row r="31" ht="12.75">
      <c r="B31" s="87"/>
    </row>
    <row r="32" spans="1:3" ht="15">
      <c r="A32" t="s">
        <v>186</v>
      </c>
      <c r="B32" s="87" t="e">
        <f>((B18*B17)/(1.49*B21*(B22^0.5)))^(3/5)</f>
        <v>#DIV/0!</v>
      </c>
      <c r="C32" t="s">
        <v>187</v>
      </c>
    </row>
    <row r="33" ht="12.75">
      <c r="B33" s="87"/>
    </row>
    <row r="34" spans="1:2" ht="12.75">
      <c r="A34" s="1" t="s">
        <v>188</v>
      </c>
      <c r="B34" s="87"/>
    </row>
    <row r="35" ht="12.75">
      <c r="B35" s="88" t="s">
        <v>189</v>
      </c>
    </row>
    <row r="36" ht="12.75">
      <c r="B36" s="87"/>
    </row>
    <row r="37" ht="12.75">
      <c r="B37" s="87"/>
    </row>
    <row r="38" ht="12.75">
      <c r="B38" s="87"/>
    </row>
    <row r="39" ht="12.75">
      <c r="B39" s="87"/>
    </row>
    <row r="40" spans="1:3" ht="15">
      <c r="A40" t="s">
        <v>144</v>
      </c>
      <c r="B40" s="87">
        <f>B17</f>
        <v>0</v>
      </c>
      <c r="C40" t="s">
        <v>181</v>
      </c>
    </row>
    <row r="41" spans="1:3" ht="15">
      <c r="A41" t="s">
        <v>116</v>
      </c>
      <c r="B41" s="87">
        <f>B21</f>
        <v>0</v>
      </c>
      <c r="C41" t="s">
        <v>117</v>
      </c>
    </row>
    <row r="42" spans="1:3" ht="15">
      <c r="A42" t="s">
        <v>186</v>
      </c>
      <c r="B42" s="87" t="e">
        <f>B32</f>
        <v>#DIV/0!</v>
      </c>
      <c r="C42" t="s">
        <v>187</v>
      </c>
    </row>
    <row r="43" spans="1:3" ht="15">
      <c r="A43" t="s">
        <v>190</v>
      </c>
      <c r="B43" s="87" t="e">
        <f>B40/(B41*B42)</f>
        <v>#DIV/0!</v>
      </c>
      <c r="C43" t="s">
        <v>191</v>
      </c>
    </row>
    <row r="45" ht="15">
      <c r="A45" s="1" t="s">
        <v>192</v>
      </c>
    </row>
    <row r="46" spans="1:3" ht="15">
      <c r="A46" t="s">
        <v>145</v>
      </c>
      <c r="B46" t="e">
        <f>B41/B43</f>
        <v>#DIV/0!</v>
      </c>
      <c r="C46" t="s">
        <v>193</v>
      </c>
    </row>
  </sheetData>
  <sheetProtection password="8E70" sheet="1"/>
  <mergeCells count="3">
    <mergeCell ref="A7:I8"/>
    <mergeCell ref="C18:I18"/>
    <mergeCell ref="C19:I20"/>
  </mergeCells>
  <dataValidations count="1">
    <dataValidation type="list" allowBlank="1" showInputMessage="1" showErrorMessage="1" sqref="B18">
      <formula1>"0.2,0.35,0.40,0.55"</formula1>
    </dataValidation>
  </dataValidations>
  <printOptions horizontalCentered="1" verticalCentered="1"/>
  <pageMargins left="0.75" right="0.75" top="0.75" bottom="0.75" header="0.5" footer="0.5"/>
  <pageSetup horizontalDpi="600" verticalDpi="600" orientation="portrait" r:id="rId5"/>
  <headerFooter alignWithMargins="0">
    <oddFooter>&amp;L&amp;F&amp;R&amp;D  &amp;T  Version 2.1</oddFooter>
  </headerFooter>
  <legacyDrawing r:id="rId4"/>
  <oleObjects>
    <oleObject progId="Equation.3" shapeId="3145337" r:id="rId1"/>
    <oleObject progId="Equation.3" shapeId="3145338" r:id="rId2"/>
    <oleObject progId="Equation.3" shapeId="3145339" r:id="rId3"/>
  </oleObjects>
</worksheet>
</file>

<file path=xl/worksheets/sheet7.xml><?xml version="1.0" encoding="utf-8"?>
<worksheet xmlns="http://schemas.openxmlformats.org/spreadsheetml/2006/main" xmlns:r="http://schemas.openxmlformats.org/officeDocument/2006/relationships">
  <dimension ref="A1:I46"/>
  <sheetViews>
    <sheetView zoomScalePageLayoutView="0" workbookViewId="0" topLeftCell="A1">
      <selection activeCell="G25" sqref="G25"/>
    </sheetView>
  </sheetViews>
  <sheetFormatPr defaultColWidth="9.140625" defaultRowHeight="12.75"/>
  <sheetData>
    <row r="1" spans="1:2" ht="15">
      <c r="A1" s="1" t="s">
        <v>179</v>
      </c>
      <c r="B1" s="87"/>
    </row>
    <row r="2" ht="12.75">
      <c r="B2" s="87"/>
    </row>
    <row r="3" spans="1:3" ht="15">
      <c r="A3" t="s">
        <v>180</v>
      </c>
      <c r="B3" s="93">
        <f>ContinuousInflowBioswale_Tmpt!C121</f>
        <v>0</v>
      </c>
      <c r="C3" t="str">
        <f>IF(ContinuousInflowBioswale_Tmpt!E15="YES","Qwq from SBUH","Qwq determined from MGSFlood as per HRM")</f>
        <v>Qwq determined from MGSFlood as per HRM</v>
      </c>
    </row>
    <row r="4" spans="1:3" ht="12.75">
      <c r="A4">
        <f>IF(OR(ContinuousInflowBioswale_Tmpt!E15="YES",ContinuousInflowBioswale_Tmpt!E15=""),"","k**")</f>
      </c>
      <c r="B4" s="92">
        <f>IF(OR(ContinuousInflowBioswale_Tmpt!E15="YES",ContinuousInflowBioswale_Tmpt!E15=""),"",IF(ContinuousInflowBioswale_Tmpt!D17="2-year 24 hr precip depth (in)",(1.41*ContinuousInflowBioswale_Tmpt!C17*0.72)-0.052,(1.41*ContinuousInflowBioswale_Tmpt!C17)-0.052))</f>
      </c>
      <c r="C4">
        <f>IF(OR(ContinuousInflowBioswale_Tmpt!E15="YES",ContinuousInflowBioswale_Tmpt!E15=""),"",IF(ContinuousInflowBioswale_Tmpt!D17="2-yr 24 hr precip depth (in)","k=1.41(P72%, 2-yr)-0.052","k=1"))</f>
      </c>
    </row>
    <row r="5" spans="1:3" ht="15">
      <c r="A5" t="s">
        <v>144</v>
      </c>
      <c r="B5" s="92">
        <f>IF(OR(ContinuousInflowBioswale_Tmpt!E15="YES",ContinuousInflowBioswale_Tmpt!E15=""),B3,B4*B3)</f>
        <v>0</v>
      </c>
      <c r="C5" t="s">
        <v>181</v>
      </c>
    </row>
    <row r="6" ht="12.75">
      <c r="B6" s="87"/>
    </row>
    <row r="7" spans="1:9" ht="12.75" customHeight="1">
      <c r="A7" s="140"/>
      <c r="B7" s="140"/>
      <c r="C7" s="140"/>
      <c r="D7" s="140"/>
      <c r="E7" s="140"/>
      <c r="F7" s="140"/>
      <c r="G7" s="140"/>
      <c r="H7" s="140"/>
      <c r="I7" s="140"/>
    </row>
    <row r="8" spans="1:9" ht="12.75">
      <c r="A8" s="140"/>
      <c r="B8" s="140"/>
      <c r="C8" s="140"/>
      <c r="D8" s="140"/>
      <c r="E8" s="140"/>
      <c r="F8" s="140"/>
      <c r="G8" s="140"/>
      <c r="H8" s="140"/>
      <c r="I8" s="140"/>
    </row>
    <row r="9" ht="12.75">
      <c r="B9" s="87"/>
    </row>
    <row r="10" spans="1:2" ht="15">
      <c r="A10" s="1" t="s">
        <v>182</v>
      </c>
      <c r="B10" s="87"/>
    </row>
    <row r="11" spans="1:2" ht="12.75">
      <c r="A11" t="s">
        <v>201</v>
      </c>
      <c r="B11" s="87"/>
    </row>
    <row r="12" ht="12.75">
      <c r="B12" s="87"/>
    </row>
    <row r="13" ht="12.75">
      <c r="B13" s="87"/>
    </row>
    <row r="14" ht="12.75">
      <c r="B14" s="87"/>
    </row>
    <row r="15" ht="12.75">
      <c r="B15" s="87"/>
    </row>
    <row r="16" ht="12.75">
      <c r="B16" s="87"/>
    </row>
    <row r="17" spans="1:3" ht="15">
      <c r="A17" t="s">
        <v>144</v>
      </c>
      <c r="B17" s="87">
        <f>B5</f>
        <v>0</v>
      </c>
      <c r="C17" t="s">
        <v>181</v>
      </c>
    </row>
    <row r="18" spans="1:9" ht="12.75">
      <c r="A18" t="s">
        <v>8</v>
      </c>
      <c r="B18" s="81">
        <v>0.35</v>
      </c>
      <c r="C18" s="141" t="s">
        <v>183</v>
      </c>
      <c r="D18" s="141"/>
      <c r="E18" s="141"/>
      <c r="F18" s="141"/>
      <c r="G18" s="141"/>
      <c r="H18" s="141"/>
      <c r="I18" s="141"/>
    </row>
    <row r="19" spans="1:9" ht="12.75">
      <c r="A19" t="s">
        <v>2</v>
      </c>
      <c r="B19" s="89">
        <f>ContinuousInflowBioswale_Tmpt!C102</f>
        <v>0</v>
      </c>
      <c r="C19" s="140" t="s">
        <v>184</v>
      </c>
      <c r="D19" s="140"/>
      <c r="E19" s="140"/>
      <c r="F19" s="140"/>
      <c r="G19" s="140"/>
      <c r="H19" s="140"/>
      <c r="I19" s="140"/>
    </row>
    <row r="20" spans="2:9" ht="12.75">
      <c r="B20" s="89"/>
      <c r="C20" s="140"/>
      <c r="D20" s="140"/>
      <c r="E20" s="140"/>
      <c r="F20" s="140"/>
      <c r="G20" s="140"/>
      <c r="H20" s="140"/>
      <c r="I20" s="140"/>
    </row>
    <row r="21" spans="1:3" ht="15">
      <c r="A21" t="s">
        <v>116</v>
      </c>
      <c r="B21" s="89">
        <f>ContinuousInflowBioswale_Tmpt!C122</f>
        <v>0</v>
      </c>
      <c r="C21" t="s">
        <v>117</v>
      </c>
    </row>
    <row r="22" spans="1:3" ht="15">
      <c r="A22" s="2" t="s">
        <v>185</v>
      </c>
      <c r="B22" s="89" t="e">
        <f>1/ContinuousInflowBioswale_Tmpt!D95</f>
        <v>#DIV/0!</v>
      </c>
      <c r="C22" t="s">
        <v>199</v>
      </c>
    </row>
    <row r="23" ht="12.75">
      <c r="B23" s="87"/>
    </row>
    <row r="24" spans="1:2" ht="12.75">
      <c r="A24" t="s">
        <v>200</v>
      </c>
      <c r="B24" s="87"/>
    </row>
    <row r="25" ht="12.75">
      <c r="B25" s="87"/>
    </row>
    <row r="26" ht="12.75">
      <c r="B26" s="87"/>
    </row>
    <row r="27" ht="12.75">
      <c r="B27" s="87"/>
    </row>
    <row r="28" ht="12.75">
      <c r="B28" s="87"/>
    </row>
    <row r="29" ht="12.75">
      <c r="B29" s="87"/>
    </row>
    <row r="30" ht="12.75">
      <c r="B30" s="87"/>
    </row>
    <row r="31" ht="12.75">
      <c r="B31" s="87"/>
    </row>
    <row r="32" spans="1:3" ht="15">
      <c r="A32" t="s">
        <v>186</v>
      </c>
      <c r="B32" s="87" t="e">
        <f>((B18*B17)/(1.49*B21*(B22^0.5)))^(3/5)</f>
        <v>#DIV/0!</v>
      </c>
      <c r="C32" t="s">
        <v>187</v>
      </c>
    </row>
    <row r="33" ht="12.75">
      <c r="B33" s="87"/>
    </row>
    <row r="34" spans="1:2" ht="12.75">
      <c r="A34" s="1" t="s">
        <v>188</v>
      </c>
      <c r="B34" s="87"/>
    </row>
    <row r="35" ht="12.75">
      <c r="B35" s="88" t="s">
        <v>189</v>
      </c>
    </row>
    <row r="36" ht="12.75">
      <c r="B36" s="87"/>
    </row>
    <row r="37" ht="12.75">
      <c r="B37" s="87"/>
    </row>
    <row r="38" ht="12.75">
      <c r="B38" s="87"/>
    </row>
    <row r="39" ht="12.75">
      <c r="B39" s="87"/>
    </row>
    <row r="40" spans="1:3" ht="15">
      <c r="A40" t="s">
        <v>144</v>
      </c>
      <c r="B40" s="87">
        <f>B17</f>
        <v>0</v>
      </c>
      <c r="C40" t="s">
        <v>181</v>
      </c>
    </row>
    <row r="41" spans="1:3" ht="15">
      <c r="A41" t="s">
        <v>116</v>
      </c>
      <c r="B41" s="87">
        <f>B21</f>
        <v>0</v>
      </c>
      <c r="C41" t="s">
        <v>117</v>
      </c>
    </row>
    <row r="42" spans="1:3" ht="15">
      <c r="A42" t="s">
        <v>186</v>
      </c>
      <c r="B42" s="87" t="e">
        <f>B32</f>
        <v>#DIV/0!</v>
      </c>
      <c r="C42" t="s">
        <v>187</v>
      </c>
    </row>
    <row r="43" spans="1:3" ht="15">
      <c r="A43" t="s">
        <v>190</v>
      </c>
      <c r="B43" s="87" t="e">
        <f>B40/(B41*B42)</f>
        <v>#DIV/0!</v>
      </c>
      <c r="C43" t="s">
        <v>191</v>
      </c>
    </row>
    <row r="45" ht="15">
      <c r="A45" s="1" t="s">
        <v>192</v>
      </c>
    </row>
    <row r="46" spans="1:3" ht="15">
      <c r="A46" t="s">
        <v>145</v>
      </c>
      <c r="B46" t="e">
        <f>B41/B43</f>
        <v>#DIV/0!</v>
      </c>
      <c r="C46" t="s">
        <v>193</v>
      </c>
    </row>
  </sheetData>
  <sheetProtection password="8E70" sheet="1"/>
  <mergeCells count="3">
    <mergeCell ref="A7:I8"/>
    <mergeCell ref="C18:I18"/>
    <mergeCell ref="C19:I20"/>
  </mergeCells>
  <dataValidations count="1">
    <dataValidation type="list" allowBlank="1" showInputMessage="1" showErrorMessage="1" sqref="B18">
      <formula1>"0.2,0.35,0.40,0.55"</formula1>
    </dataValidation>
  </dataValidations>
  <printOptions horizontalCentered="1" verticalCentered="1"/>
  <pageMargins left="0.75" right="0.75" top="0.75" bottom="0.75" header="0.5" footer="0.5"/>
  <pageSetup horizontalDpi="600" verticalDpi="600" orientation="portrait" r:id="rId5"/>
  <headerFooter alignWithMargins="0">
    <oddFooter>&amp;L&amp;F&amp;R&amp;D  &amp;T  Version 2.1</oddFooter>
  </headerFooter>
  <legacyDrawing r:id="rId4"/>
  <oleObjects>
    <oleObject progId="Equation.3" shapeId="3146822" r:id="rId1"/>
    <oleObject progId="Equation.3" shapeId="3146823" r:id="rId2"/>
    <oleObject progId="Equation.3" shapeId="3146824" r:id="rId3"/>
  </oleObjects>
</worksheet>
</file>

<file path=xl/worksheets/sheet8.xml><?xml version="1.0" encoding="utf-8"?>
<worksheet xmlns="http://schemas.openxmlformats.org/spreadsheetml/2006/main" xmlns:r="http://schemas.openxmlformats.org/officeDocument/2006/relationships">
  <dimension ref="A1:I46"/>
  <sheetViews>
    <sheetView zoomScalePageLayoutView="0" workbookViewId="0" topLeftCell="A1">
      <selection activeCell="G25" sqref="G25"/>
    </sheetView>
  </sheetViews>
  <sheetFormatPr defaultColWidth="9.140625" defaultRowHeight="12.75"/>
  <sheetData>
    <row r="1" spans="1:2" ht="15">
      <c r="A1" s="1" t="s">
        <v>179</v>
      </c>
      <c r="B1" s="87"/>
    </row>
    <row r="2" ht="12.75">
      <c r="B2" s="87"/>
    </row>
    <row r="3" spans="1:3" ht="15">
      <c r="A3" t="s">
        <v>180</v>
      </c>
      <c r="B3" s="93">
        <f>ContinuousInflowBioswale_Tmpt!C125</f>
        <v>0</v>
      </c>
      <c r="C3" t="str">
        <f>IF(ContinuousInflowBioswale_Tmpt!E15="YES","Qwq from SBUH","Qwq determined from MGSFlood as per HRM")</f>
        <v>Qwq determined from MGSFlood as per HRM</v>
      </c>
    </row>
    <row r="4" spans="1:3" ht="12.75">
      <c r="A4">
        <f>IF(OR(ContinuousInflowBioswale_Tmpt!E15="YES",ContinuousInflowBioswale_Tmpt!E15=""),"","k**")</f>
      </c>
      <c r="B4" s="92">
        <f>IF(OR(ContinuousInflowBioswale_Tmpt!E15="YES",ContinuousInflowBioswale_Tmpt!E15=""),"",IF(ContinuousInflowBioswale_Tmpt!D17="2-year 24 hr precip depth (in)",(1.41*ContinuousInflowBioswale_Tmpt!C17*0.72)-0.052,(1.41*ContinuousInflowBioswale_Tmpt!C17)-0.052))</f>
      </c>
      <c r="C4">
        <f>IF(OR(ContinuousInflowBioswale_Tmpt!E15="YES",ContinuousInflowBioswale_Tmpt!E15=""),"",IF(ContinuousInflowBioswale_Tmpt!D17="2-yr 24 hr precip depth (in)","k=1.41(P72%, 2-yr)-0.052","k=1"))</f>
      </c>
    </row>
    <row r="5" spans="1:3" ht="15">
      <c r="A5" t="s">
        <v>144</v>
      </c>
      <c r="B5" s="92">
        <f>IF(OR(ContinuousInflowBioswale_Tmpt!E15="YES",ContinuousInflowBioswale_Tmpt!E15=""),B3,B4*B3)</f>
        <v>0</v>
      </c>
      <c r="C5" t="s">
        <v>181</v>
      </c>
    </row>
    <row r="6" ht="12.75">
      <c r="B6" s="87"/>
    </row>
    <row r="7" spans="1:9" ht="12.75" customHeight="1">
      <c r="A7" s="140"/>
      <c r="B7" s="140"/>
      <c r="C7" s="140"/>
      <c r="D7" s="140"/>
      <c r="E7" s="140"/>
      <c r="F7" s="140"/>
      <c r="G7" s="140"/>
      <c r="H7" s="140"/>
      <c r="I7" s="140"/>
    </row>
    <row r="8" spans="1:9" ht="12.75">
      <c r="A8" s="140"/>
      <c r="B8" s="140"/>
      <c r="C8" s="140"/>
      <c r="D8" s="140"/>
      <c r="E8" s="140"/>
      <c r="F8" s="140"/>
      <c r="G8" s="140"/>
      <c r="H8" s="140"/>
      <c r="I8" s="140"/>
    </row>
    <row r="9" ht="12.75">
      <c r="B9" s="87"/>
    </row>
    <row r="10" spans="1:2" ht="15">
      <c r="A10" s="1" t="s">
        <v>182</v>
      </c>
      <c r="B10" s="87"/>
    </row>
    <row r="11" spans="1:2" ht="12.75">
      <c r="A11" t="s">
        <v>201</v>
      </c>
      <c r="B11" s="87"/>
    </row>
    <row r="12" ht="12.75">
      <c r="B12" s="87"/>
    </row>
    <row r="13" ht="12.75">
      <c r="B13" s="87"/>
    </row>
    <row r="14" ht="12.75">
      <c r="B14" s="87"/>
    </row>
    <row r="15" ht="12.75">
      <c r="B15" s="87"/>
    </row>
    <row r="16" ht="12.75">
      <c r="B16" s="87"/>
    </row>
    <row r="17" spans="1:3" ht="15">
      <c r="A17" t="s">
        <v>144</v>
      </c>
      <c r="B17" s="87">
        <f>B5</f>
        <v>0</v>
      </c>
      <c r="C17" t="s">
        <v>181</v>
      </c>
    </row>
    <row r="18" spans="1:9" ht="12.75">
      <c r="A18" t="s">
        <v>8</v>
      </c>
      <c r="B18" s="81">
        <v>0.35</v>
      </c>
      <c r="C18" s="141" t="s">
        <v>183</v>
      </c>
      <c r="D18" s="141"/>
      <c r="E18" s="141"/>
      <c r="F18" s="141"/>
      <c r="G18" s="141"/>
      <c r="H18" s="141"/>
      <c r="I18" s="141"/>
    </row>
    <row r="19" spans="1:9" ht="12.75">
      <c r="A19" t="s">
        <v>2</v>
      </c>
      <c r="B19" s="89">
        <f>ContinuousInflowBioswale_Tmpt!C102</f>
        <v>0</v>
      </c>
      <c r="C19" s="140" t="s">
        <v>184</v>
      </c>
      <c r="D19" s="140"/>
      <c r="E19" s="140"/>
      <c r="F19" s="140"/>
      <c r="G19" s="140"/>
      <c r="H19" s="140"/>
      <c r="I19" s="140"/>
    </row>
    <row r="20" spans="2:9" ht="12.75">
      <c r="B20" s="89"/>
      <c r="C20" s="140"/>
      <c r="D20" s="140"/>
      <c r="E20" s="140"/>
      <c r="F20" s="140"/>
      <c r="G20" s="140"/>
      <c r="H20" s="140"/>
      <c r="I20" s="140"/>
    </row>
    <row r="21" spans="1:3" ht="15">
      <c r="A21" t="s">
        <v>116</v>
      </c>
      <c r="B21" s="89">
        <f>ContinuousInflowBioswale_Tmpt!C126</f>
        <v>0</v>
      </c>
      <c r="C21" t="s">
        <v>117</v>
      </c>
    </row>
    <row r="22" spans="1:3" ht="15">
      <c r="A22" s="2" t="s">
        <v>185</v>
      </c>
      <c r="B22" s="89" t="e">
        <f>1/ContinuousInflowBioswale_Tmpt!D95</f>
        <v>#DIV/0!</v>
      </c>
      <c r="C22" t="s">
        <v>199</v>
      </c>
    </row>
    <row r="23" ht="12.75">
      <c r="B23" s="87"/>
    </row>
    <row r="24" spans="1:2" ht="12.75">
      <c r="A24" t="s">
        <v>200</v>
      </c>
      <c r="B24" s="87"/>
    </row>
    <row r="25" ht="12.75">
      <c r="B25" s="87"/>
    </row>
    <row r="26" ht="12.75">
      <c r="B26" s="87"/>
    </row>
    <row r="27" ht="12.75">
      <c r="B27" s="87"/>
    </row>
    <row r="28" ht="12.75">
      <c r="B28" s="87"/>
    </row>
    <row r="29" ht="12.75">
      <c r="B29" s="87"/>
    </row>
    <row r="30" ht="12.75">
      <c r="B30" s="87"/>
    </row>
    <row r="31" ht="12.75">
      <c r="B31" s="87"/>
    </row>
    <row r="32" spans="1:3" ht="15">
      <c r="A32" t="s">
        <v>186</v>
      </c>
      <c r="B32" s="87" t="e">
        <f>((B18*B17)/(1.49*B21*(B22^0.5)))^(3/5)</f>
        <v>#DIV/0!</v>
      </c>
      <c r="C32" t="s">
        <v>187</v>
      </c>
    </row>
    <row r="33" ht="12.75">
      <c r="B33" s="87"/>
    </row>
    <row r="34" spans="1:2" ht="12.75">
      <c r="A34" s="1" t="s">
        <v>188</v>
      </c>
      <c r="B34" s="87"/>
    </row>
    <row r="35" ht="12.75">
      <c r="B35" s="88" t="s">
        <v>189</v>
      </c>
    </row>
    <row r="36" ht="12.75">
      <c r="B36" s="87"/>
    </row>
    <row r="37" ht="12.75">
      <c r="B37" s="87"/>
    </row>
    <row r="38" ht="12.75">
      <c r="B38" s="87"/>
    </row>
    <row r="39" ht="12.75">
      <c r="B39" s="87"/>
    </row>
    <row r="40" spans="1:3" ht="15">
      <c r="A40" t="s">
        <v>144</v>
      </c>
      <c r="B40" s="87">
        <f>B17</f>
        <v>0</v>
      </c>
      <c r="C40" t="s">
        <v>181</v>
      </c>
    </row>
    <row r="41" spans="1:3" ht="15">
      <c r="A41" t="s">
        <v>116</v>
      </c>
      <c r="B41" s="87">
        <f>B21</f>
        <v>0</v>
      </c>
      <c r="C41" t="s">
        <v>117</v>
      </c>
    </row>
    <row r="42" spans="1:3" ht="15">
      <c r="A42" t="s">
        <v>186</v>
      </c>
      <c r="B42" s="87" t="e">
        <f>B32</f>
        <v>#DIV/0!</v>
      </c>
      <c r="C42" t="s">
        <v>187</v>
      </c>
    </row>
    <row r="43" spans="1:3" ht="15">
      <c r="A43" t="s">
        <v>190</v>
      </c>
      <c r="B43" s="87" t="e">
        <f>B40/(B41*B42)</f>
        <v>#DIV/0!</v>
      </c>
      <c r="C43" t="s">
        <v>191</v>
      </c>
    </row>
    <row r="45" ht="15">
      <c r="A45" s="1" t="s">
        <v>192</v>
      </c>
    </row>
    <row r="46" spans="1:3" ht="15">
      <c r="A46" t="s">
        <v>145</v>
      </c>
      <c r="B46" t="e">
        <f>B41/B43</f>
        <v>#DIV/0!</v>
      </c>
      <c r="C46" t="s">
        <v>193</v>
      </c>
    </row>
  </sheetData>
  <sheetProtection password="8E70" sheet="1"/>
  <mergeCells count="3">
    <mergeCell ref="A7:I8"/>
    <mergeCell ref="C18:I18"/>
    <mergeCell ref="C19:I20"/>
  </mergeCells>
  <dataValidations count="1">
    <dataValidation type="list" allowBlank="1" showInputMessage="1" showErrorMessage="1" sqref="B18">
      <formula1>"0.2,0.35,0.40,0.55"</formula1>
    </dataValidation>
  </dataValidations>
  <printOptions horizontalCentered="1" verticalCentered="1"/>
  <pageMargins left="0.75" right="0.75" top="0.75" bottom="0.75" header="0.5" footer="0.5"/>
  <pageSetup horizontalDpi="600" verticalDpi="600" orientation="portrait" r:id="rId5"/>
  <headerFooter alignWithMargins="0">
    <oddFooter>&amp;L&amp;F&amp;R&amp;D  &amp;T  Version 2.1</oddFooter>
  </headerFooter>
  <legacyDrawing r:id="rId4"/>
  <oleObjects>
    <oleObject progId="Equation.3" shapeId="3145721" r:id="rId1"/>
    <oleObject progId="Equation.3" shapeId="3145722" r:id="rId2"/>
    <oleObject progId="Equation.3" shapeId="3145723" r:id="rId3"/>
  </oleObjects>
</worksheet>
</file>

<file path=xl/worksheets/sheet9.xml><?xml version="1.0" encoding="utf-8"?>
<worksheet xmlns="http://schemas.openxmlformats.org/spreadsheetml/2006/main" xmlns:r="http://schemas.openxmlformats.org/officeDocument/2006/relationships">
  <dimension ref="A1:I46"/>
  <sheetViews>
    <sheetView zoomScalePageLayoutView="0" workbookViewId="0" topLeftCell="A1">
      <selection activeCell="G25" sqref="G25"/>
    </sheetView>
  </sheetViews>
  <sheetFormatPr defaultColWidth="9.140625" defaultRowHeight="12.75"/>
  <sheetData>
    <row r="1" spans="1:2" ht="15">
      <c r="A1" s="1" t="s">
        <v>179</v>
      </c>
      <c r="B1" s="87"/>
    </row>
    <row r="2" ht="12.75">
      <c r="B2" s="87"/>
    </row>
    <row r="3" spans="1:3" ht="15">
      <c r="A3" t="s">
        <v>180</v>
      </c>
      <c r="B3" s="93">
        <f>ContinuousInflowBioswale_Tmpt!C129</f>
        <v>0</v>
      </c>
      <c r="C3" t="str">
        <f>IF(ContinuousInflowBioswale_Tmpt!E15="YES","Qwq from SBUH","Qwq determined from MGSFlood as per HRM")</f>
        <v>Qwq determined from MGSFlood as per HRM</v>
      </c>
    </row>
    <row r="4" spans="1:3" ht="12.75">
      <c r="A4">
        <f>IF(OR(ContinuousInflowBioswale_Tmpt!E15="YES",ContinuousInflowBioswale_Tmpt!E15=""),"","k**")</f>
      </c>
      <c r="B4" s="92">
        <f>IF(OR(ContinuousInflowBioswale_Tmpt!E15="YES",ContinuousInflowBioswale_Tmpt!E15=""),"",IF(ContinuousInflowBioswale_Tmpt!D17="2-year 24 hr precip depth (in)",(1.41*ContinuousInflowBioswale_Tmpt!C17*0.72)-0.052,(1.41*ContinuousInflowBioswale_Tmpt!C17)-0.052))</f>
      </c>
      <c r="C4">
        <f>IF(OR(ContinuousInflowBioswale_Tmpt!E15="YES",ContinuousInflowBioswale_Tmpt!E15=""),"",IF(ContinuousInflowBioswale_Tmpt!D17="2-yr 24 hr precip depth (in)","k=1.41(P72%, 2-yr)-0.052","k=1"))</f>
      </c>
    </row>
    <row r="5" spans="1:3" ht="15">
      <c r="A5" t="s">
        <v>144</v>
      </c>
      <c r="B5" s="92">
        <f>IF(OR(ContinuousInflowBioswale_Tmpt!E15="YES",ContinuousInflowBioswale_Tmpt!E15=""),B3,B4*B3)</f>
        <v>0</v>
      </c>
      <c r="C5" t="s">
        <v>181</v>
      </c>
    </row>
    <row r="6" ht="12.75">
      <c r="B6" s="87"/>
    </row>
    <row r="7" spans="1:9" ht="12.75" customHeight="1">
      <c r="A7" s="140"/>
      <c r="B7" s="140"/>
      <c r="C7" s="140"/>
      <c r="D7" s="140"/>
      <c r="E7" s="140"/>
      <c r="F7" s="140"/>
      <c r="G7" s="140"/>
      <c r="H7" s="140"/>
      <c r="I7" s="140"/>
    </row>
    <row r="8" spans="1:9" ht="12.75">
      <c r="A8" s="140"/>
      <c r="B8" s="140"/>
      <c r="C8" s="140"/>
      <c r="D8" s="140"/>
      <c r="E8" s="140"/>
      <c r="F8" s="140"/>
      <c r="G8" s="140"/>
      <c r="H8" s="140"/>
      <c r="I8" s="140"/>
    </row>
    <row r="9" ht="12.75">
      <c r="B9" s="87"/>
    </row>
    <row r="10" spans="1:2" ht="15">
      <c r="A10" s="1" t="s">
        <v>182</v>
      </c>
      <c r="B10" s="87"/>
    </row>
    <row r="11" spans="1:2" ht="12.75">
      <c r="A11" t="s">
        <v>201</v>
      </c>
      <c r="B11" s="87"/>
    </row>
    <row r="12" ht="12.75">
      <c r="B12" s="87"/>
    </row>
    <row r="13" ht="12.75">
      <c r="B13" s="87"/>
    </row>
    <row r="14" ht="12.75">
      <c r="B14" s="87"/>
    </row>
    <row r="15" ht="12.75">
      <c r="B15" s="87"/>
    </row>
    <row r="16" ht="12.75">
      <c r="B16" s="87"/>
    </row>
    <row r="17" spans="1:3" ht="15">
      <c r="A17" t="s">
        <v>144</v>
      </c>
      <c r="B17" s="87">
        <f>B5</f>
        <v>0</v>
      </c>
      <c r="C17" t="s">
        <v>181</v>
      </c>
    </row>
    <row r="18" spans="1:9" ht="12.75">
      <c r="A18" t="s">
        <v>8</v>
      </c>
      <c r="B18" s="81">
        <v>0.35</v>
      </c>
      <c r="C18" s="141" t="s">
        <v>183</v>
      </c>
      <c r="D18" s="141"/>
      <c r="E18" s="141"/>
      <c r="F18" s="141"/>
      <c r="G18" s="141"/>
      <c r="H18" s="141"/>
      <c r="I18" s="141"/>
    </row>
    <row r="19" spans="1:9" ht="12.75">
      <c r="A19" t="s">
        <v>2</v>
      </c>
      <c r="B19" s="89">
        <f>ContinuousInflowBioswale_Tmpt!C102</f>
        <v>0</v>
      </c>
      <c r="C19" s="140" t="s">
        <v>184</v>
      </c>
      <c r="D19" s="140"/>
      <c r="E19" s="140"/>
      <c r="F19" s="140"/>
      <c r="G19" s="140"/>
      <c r="H19" s="140"/>
      <c r="I19" s="140"/>
    </row>
    <row r="20" spans="2:9" ht="12.75">
      <c r="B20" s="89"/>
      <c r="C20" s="140"/>
      <c r="D20" s="140"/>
      <c r="E20" s="140"/>
      <c r="F20" s="140"/>
      <c r="G20" s="140"/>
      <c r="H20" s="140"/>
      <c r="I20" s="140"/>
    </row>
    <row r="21" spans="1:3" ht="15">
      <c r="A21" t="s">
        <v>116</v>
      </c>
      <c r="B21" s="89">
        <f>ContinuousInflowBioswale_Tmpt!C130</f>
        <v>0</v>
      </c>
      <c r="C21" t="s">
        <v>117</v>
      </c>
    </row>
    <row r="22" spans="1:3" ht="15">
      <c r="A22" s="2" t="s">
        <v>185</v>
      </c>
      <c r="B22" s="89" t="e">
        <f>1/ContinuousInflowBioswale_Tmpt!D95</f>
        <v>#DIV/0!</v>
      </c>
      <c r="C22" t="s">
        <v>199</v>
      </c>
    </row>
    <row r="23" ht="12.75">
      <c r="B23" s="87"/>
    </row>
    <row r="24" spans="1:2" ht="12.75">
      <c r="A24" t="s">
        <v>200</v>
      </c>
      <c r="B24" s="87"/>
    </row>
    <row r="25" ht="12.75">
      <c r="B25" s="87"/>
    </row>
    <row r="26" ht="12.75">
      <c r="B26" s="87"/>
    </row>
    <row r="27" ht="12.75">
      <c r="B27" s="87"/>
    </row>
    <row r="28" ht="12.75">
      <c r="B28" s="87"/>
    </row>
    <row r="29" ht="12.75">
      <c r="B29" s="87"/>
    </row>
    <row r="30" ht="12.75">
      <c r="B30" s="87"/>
    </row>
    <row r="31" ht="12.75">
      <c r="B31" s="87"/>
    </row>
    <row r="32" spans="1:3" ht="15">
      <c r="A32" t="s">
        <v>186</v>
      </c>
      <c r="B32" s="87" t="e">
        <f>((B18*B17)/(1.49*B21*(B22^0.5)))^(3/5)</f>
        <v>#DIV/0!</v>
      </c>
      <c r="C32" t="s">
        <v>187</v>
      </c>
    </row>
    <row r="33" ht="12.75">
      <c r="B33" s="87"/>
    </row>
    <row r="34" spans="1:2" ht="12.75">
      <c r="A34" s="1" t="s">
        <v>188</v>
      </c>
      <c r="B34" s="87"/>
    </row>
    <row r="35" ht="12.75">
      <c r="B35" s="88" t="s">
        <v>189</v>
      </c>
    </row>
    <row r="36" ht="12.75">
      <c r="B36" s="87"/>
    </row>
    <row r="37" ht="12.75">
      <c r="B37" s="87"/>
    </row>
    <row r="38" ht="12.75">
      <c r="B38" s="87"/>
    </row>
    <row r="39" ht="12.75">
      <c r="B39" s="87"/>
    </row>
    <row r="40" spans="1:3" ht="15">
      <c r="A40" t="s">
        <v>144</v>
      </c>
      <c r="B40" s="87">
        <f>B17</f>
        <v>0</v>
      </c>
      <c r="C40" t="s">
        <v>181</v>
      </c>
    </row>
    <row r="41" spans="1:3" ht="15">
      <c r="A41" t="s">
        <v>116</v>
      </c>
      <c r="B41" s="87">
        <f>B21</f>
        <v>0</v>
      </c>
      <c r="C41" t="s">
        <v>117</v>
      </c>
    </row>
    <row r="42" spans="1:3" ht="15">
      <c r="A42" t="s">
        <v>186</v>
      </c>
      <c r="B42" s="87" t="e">
        <f>B32</f>
        <v>#DIV/0!</v>
      </c>
      <c r="C42" t="s">
        <v>187</v>
      </c>
    </row>
    <row r="43" spans="1:3" ht="15">
      <c r="A43" t="s">
        <v>190</v>
      </c>
      <c r="B43" s="87" t="e">
        <f>B40/(B41*B42)</f>
        <v>#DIV/0!</v>
      </c>
      <c r="C43" t="s">
        <v>191</v>
      </c>
    </row>
    <row r="45" ht="15">
      <c r="A45" s="1" t="s">
        <v>192</v>
      </c>
    </row>
    <row r="46" spans="1:3" ht="15">
      <c r="A46" t="s">
        <v>145</v>
      </c>
      <c r="B46" t="e">
        <f>B41/B43</f>
        <v>#DIV/0!</v>
      </c>
      <c r="C46" t="s">
        <v>193</v>
      </c>
    </row>
  </sheetData>
  <sheetProtection password="8E70" sheet="1"/>
  <mergeCells count="3">
    <mergeCell ref="A7:I8"/>
    <mergeCell ref="C18:I18"/>
    <mergeCell ref="C19:I20"/>
  </mergeCells>
  <dataValidations count="1">
    <dataValidation type="list" allowBlank="1" showInputMessage="1" showErrorMessage="1" sqref="B18">
      <formula1>"0.2,0.35,0.40,0.55"</formula1>
    </dataValidation>
  </dataValidations>
  <printOptions horizontalCentered="1" verticalCentered="1"/>
  <pageMargins left="0.75" right="0.75" top="0.75" bottom="0.75" header="0.5" footer="0.5"/>
  <pageSetup horizontalDpi="600" verticalDpi="600" orientation="portrait" r:id="rId5"/>
  <headerFooter alignWithMargins="0">
    <oddFooter>&amp;L&amp;F&amp;R&amp;D  &amp;T  Version 2.1</oddFooter>
  </headerFooter>
  <legacyDrawing r:id="rId4"/>
  <oleObjects>
    <oleObject progId="Equation.3" shapeId="3145726" r:id="rId1"/>
    <oleObject progId="Equation.3" shapeId="3145727" r:id="rId2"/>
    <oleObject progId="Equation.3" shapeId="3145728"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Continuous inflow biofiltration swale design </dc:title>
  <dc:subject>Continuous inflow biofiltration swale design </dc:subject>
  <dc:creator>WSDOT Highway Runoff</dc:creator>
  <cp:keywords/>
  <dc:description/>
  <cp:lastModifiedBy>willisr</cp:lastModifiedBy>
  <cp:lastPrinted>2015-03-17T14:44:56Z</cp:lastPrinted>
  <dcterms:created xsi:type="dcterms:W3CDTF">2008-08-21T17:28:12Z</dcterms:created>
  <dcterms:modified xsi:type="dcterms:W3CDTF">2019-12-05T21:35:39Z</dcterms:modified>
  <cp:category/>
  <cp:version/>
  <cp:contentType/>
  <cp:contentStatus/>
</cp:coreProperties>
</file>